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drawings/drawing8.xml" ContentType="application/vnd.openxmlformats-officedocument.drawingml.chartshapes+xml"/>
  <Override PartName="/xl/drawings/drawing5.xml" ContentType="application/vnd.openxmlformats-officedocument.drawingml.chartshapes+xml"/>
  <Override PartName="/xl/drawings/drawing4.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metadata.xml" ContentType="application/vnd.openxmlformats-officedocument.spreadsheetml.sheetMetadata+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defaultThemeVersion="166925"/>
  <mc:AlternateContent xmlns:mc="http://schemas.openxmlformats.org/markup-compatibility/2006">
    <mc:Choice Requires="x15">
      <x15ac:absPath xmlns:x15ac="http://schemas.microsoft.com/office/spreadsheetml/2010/11/ac" url="https://climatechangegovt-my.sharepoint.com/personal/matthew_smith_climatecommission_govt_nz/Documents/Documents/"/>
    </mc:Choice>
  </mc:AlternateContent>
  <xr:revisionPtr revIDLastSave="2977" documentId="8_{F30B7E14-114D-4068-B02D-075DA59B162A}" xr6:coauthVersionLast="45" xr6:coauthVersionMax="45" xr10:uidLastSave="{09168F48-C976-46BD-AFCB-FA96453D5D48}"/>
  <bookViews>
    <workbookView xWindow="-120" yWindow="-120" windowWidth="29040" windowHeight="15840" firstSheet="1" activeTab="7" xr2:uid="{719A28F0-FD76-48B2-A87C-FE41E7BA1125}"/>
  </bookViews>
  <sheets>
    <sheet name="Guide" sheetId="35" r:id="rId1"/>
    <sheet name="NDC tool" sheetId="5" r:id="rId2"/>
    <sheet name="% on 2005 back calculator" sheetId="16" r:id="rId3"/>
    <sheet name="Tables in advice report" sheetId="27" r:id="rId4"/>
    <sheet name="Tables evidence report" sheetId="32" r:id="rId5"/>
    <sheet name="Graphs" sheetId="30" r:id="rId6"/>
    <sheet name="NZ emissions AR4" sheetId="2" r:id="rId7"/>
    <sheet name="NZ emissions AR5" sheetId="25" r:id="rId8"/>
    <sheet name="Demonstration path" sheetId="33" r:id="rId9"/>
    <sheet name="Current Policy Reference" sheetId="34" r:id="rId10"/>
    <sheet name="MfE Target accounting emissions" sheetId="31" r:id="rId11"/>
    <sheet name="IPCC modelled reductions" sheetId="24" r:id="rId12"/>
    <sheet name="2021 Inventory emissions" sheetId="23" r:id="rId13"/>
    <sheet name="Table10s5" sheetId="36" r:id="rId14"/>
    <sheet name="F-gas GWPs" sheetId="38" r:id="rId15"/>
    <sheet name="F-gas conversion" sheetId="37" r:id="rId16"/>
    <sheet name="F-gas conversion outputs" sheetId="39" r:id="rId17"/>
  </sheets>
  <definedNames>
    <definedName name="____W.O.R.K.B.O.O.K..C.O.N.T.E.N.T.S____">#REF!</definedName>
    <definedName name="_Hlk57294012" localSheetId="4">'Tables evidence report'!$C$6</definedName>
    <definedName name="CRF_4_KP_I_A.1.1_Doc">#REF!</definedName>
    <definedName name="CRF_4_KP_I_A.2.1_Doc">#REF!</definedName>
    <definedName name="CRF_4_KP_I_A.2_Doc">#REF!</definedName>
    <definedName name="CRF_4_KP_I_B.1.1_Doc">#REF!</definedName>
    <definedName name="CRF_4_KP_I_B.1.3_Doc">#REF!</definedName>
    <definedName name="CRF_Table10s5_Main">Table10s5!$A$5:$AH$44</definedName>
    <definedName name="CRF_Table3.B_a_s2_Add">#REF!</definedName>
    <definedName name="CRF_Table7_Mai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46" i="37" l="1"/>
  <c r="AE46" i="37"/>
  <c r="AD46" i="37"/>
  <c r="AC46" i="37"/>
  <c r="AB46" i="37"/>
  <c r="AA46" i="37"/>
  <c r="Z46" i="37"/>
  <c r="Y46" i="37"/>
  <c r="X46" i="37"/>
  <c r="W46" i="37"/>
  <c r="V46" i="37"/>
  <c r="U46" i="37"/>
  <c r="T46" i="37"/>
  <c r="S46" i="37"/>
  <c r="R46" i="37"/>
  <c r="Q46" i="37"/>
  <c r="P46" i="37"/>
  <c r="O46" i="37"/>
  <c r="N46" i="37"/>
  <c r="M46" i="37"/>
  <c r="L46" i="37"/>
  <c r="K46" i="37"/>
  <c r="J46" i="37"/>
  <c r="I46" i="37"/>
  <c r="H46" i="37"/>
  <c r="G46" i="37"/>
  <c r="F46" i="37"/>
  <c r="E46" i="37"/>
  <c r="D46" i="37"/>
  <c r="C46" i="37"/>
  <c r="B46" i="37"/>
  <c r="A19" i="16" l="1"/>
  <c r="C21" i="30"/>
  <c r="E26" i="30"/>
  <c r="AI11" i="33" l="1"/>
  <c r="AQ20" i="33" l="1"/>
  <c r="AQ11" i="33"/>
  <c r="T16" i="31" l="1"/>
  <c r="H2" i="25" l="1"/>
  <c r="B4" i="5"/>
  <c r="B34" i="5"/>
  <c r="B35" i="5"/>
  <c r="K31" i="5" l="1"/>
  <c r="F3" i="38"/>
  <c r="B38" i="5"/>
  <c r="G6" i="27"/>
  <c r="A27" i="16"/>
  <c r="A30" i="16" s="1"/>
  <c r="B47" i="5"/>
  <c r="B45" i="5"/>
  <c r="B46" i="5"/>
  <c r="B39" i="5"/>
  <c r="A31" i="5"/>
  <c r="B37" i="5"/>
  <c r="C11" i="2"/>
  <c r="F37" i="38" l="1"/>
  <c r="F25" i="38"/>
  <c r="F9" i="38"/>
  <c r="G2" i="39"/>
  <c r="F22" i="38"/>
  <c r="F41" i="38"/>
  <c r="F21" i="38"/>
  <c r="F14" i="38"/>
  <c r="F30" i="38"/>
  <c r="F38" i="38"/>
  <c r="F20" i="38"/>
  <c r="F31" i="38"/>
  <c r="F7" i="38"/>
  <c r="F35" i="38"/>
  <c r="F17" i="38"/>
  <c r="F32" i="38"/>
  <c r="F13" i="38"/>
  <c r="F12" i="38"/>
  <c r="F16" i="38"/>
  <c r="F24" i="38"/>
  <c r="F11" i="38"/>
  <c r="F15" i="38"/>
  <c r="F36" i="38"/>
  <c r="F10" i="38"/>
  <c r="F23" i="38"/>
  <c r="F18" i="38"/>
  <c r="F33" i="38"/>
  <c r="F8" i="38"/>
  <c r="F26" i="38"/>
  <c r="F19" i="38"/>
  <c r="F34" i="38"/>
  <c r="F27" i="38"/>
  <c r="D102" i="5"/>
  <c r="E102" i="5" s="1"/>
  <c r="F102" i="5" s="1"/>
  <c r="G102" i="5" s="1"/>
  <c r="H102" i="5" s="1"/>
  <c r="I102" i="5" s="1"/>
  <c r="J102" i="5" s="1"/>
  <c r="K102" i="5" s="1"/>
  <c r="L102" i="5" s="1"/>
  <c r="M102" i="5" s="1"/>
  <c r="N102" i="5" s="1"/>
  <c r="O102" i="5" s="1"/>
  <c r="P102" i="5" s="1"/>
  <c r="Q102" i="5" s="1"/>
  <c r="R102" i="5" s="1"/>
  <c r="S102" i="5" s="1"/>
  <c r="T102" i="5" s="1"/>
  <c r="U102" i="5" s="1"/>
  <c r="V102" i="5" s="1"/>
  <c r="W102" i="5" s="1"/>
  <c r="X102" i="5" s="1"/>
  <c r="Y102" i="5" s="1"/>
  <c r="Z102" i="5" s="1"/>
  <c r="AA102" i="5" s="1"/>
  <c r="AB102" i="5" s="1"/>
  <c r="AC102" i="5" s="1"/>
  <c r="AD102" i="5" s="1"/>
  <c r="AE102" i="5" s="1"/>
  <c r="AF102" i="5" s="1"/>
  <c r="AG102" i="5" s="1"/>
  <c r="P23" i="37" l="1"/>
  <c r="U23" i="37"/>
  <c r="AA23" i="37"/>
  <c r="AE23" i="37"/>
  <c r="V23" i="37"/>
  <c r="L23" i="37"/>
  <c r="T23" i="37"/>
  <c r="C23" i="37"/>
  <c r="AF23" i="37"/>
  <c r="N23" i="37"/>
  <c r="Y23" i="37"/>
  <c r="Z23" i="37"/>
  <c r="R23" i="37"/>
  <c r="E23" i="37"/>
  <c r="M23" i="37"/>
  <c r="X23" i="37"/>
  <c r="Q23" i="37"/>
  <c r="H23" i="37"/>
  <c r="I23" i="37"/>
  <c r="W23" i="37"/>
  <c r="B23" i="37"/>
  <c r="G23" i="37"/>
  <c r="J23" i="37"/>
  <c r="AD23" i="37"/>
  <c r="AC23" i="37"/>
  <c r="F23" i="37"/>
  <c r="O23" i="37"/>
  <c r="AB23" i="37"/>
  <c r="S23" i="37"/>
  <c r="D23" i="37"/>
  <c r="K23" i="37"/>
  <c r="AB32" i="37"/>
  <c r="E32" i="37"/>
  <c r="O32" i="37"/>
  <c r="G32" i="37"/>
  <c r="AC32" i="37"/>
  <c r="B32" i="37"/>
  <c r="N32" i="37"/>
  <c r="W32" i="37"/>
  <c r="R32" i="37"/>
  <c r="S32" i="37"/>
  <c r="I32" i="37"/>
  <c r="M32" i="37"/>
  <c r="Q32" i="37"/>
  <c r="AD32" i="37"/>
  <c r="J32" i="37"/>
  <c r="C32" i="37"/>
  <c r="AA32" i="37"/>
  <c r="Z32" i="37"/>
  <c r="AE32" i="37"/>
  <c r="V32" i="37"/>
  <c r="L32" i="37"/>
  <c r="F32" i="37"/>
  <c r="AF32" i="37"/>
  <c r="P32" i="37"/>
  <c r="U32" i="37"/>
  <c r="Y32" i="37"/>
  <c r="D32" i="37"/>
  <c r="X32" i="37"/>
  <c r="T32" i="37"/>
  <c r="K32" i="37"/>
  <c r="H32" i="37"/>
  <c r="AD14" i="37"/>
  <c r="AB14" i="37"/>
  <c r="AA14" i="37"/>
  <c r="P14" i="37"/>
  <c r="AF14" i="37"/>
  <c r="G14" i="37"/>
  <c r="Z14" i="37"/>
  <c r="O14" i="37"/>
  <c r="U14" i="37"/>
  <c r="Q14" i="37"/>
  <c r="I14" i="37"/>
  <c r="B14" i="37"/>
  <c r="F14" i="37"/>
  <c r="D14" i="37"/>
  <c r="J14" i="37"/>
  <c r="T14" i="37"/>
  <c r="M14" i="37"/>
  <c r="H14" i="37"/>
  <c r="C14" i="37"/>
  <c r="N14" i="37"/>
  <c r="Y14" i="37"/>
  <c r="AE14" i="37"/>
  <c r="X14" i="37"/>
  <c r="K14" i="37"/>
  <c r="V14" i="37"/>
  <c r="S14" i="37"/>
  <c r="E14" i="37"/>
  <c r="AC14" i="37"/>
  <c r="L14" i="37"/>
  <c r="R14" i="37"/>
  <c r="W14" i="37"/>
  <c r="AA21" i="37"/>
  <c r="T21" i="37"/>
  <c r="I21" i="37"/>
  <c r="Q21" i="37"/>
  <c r="Z21" i="37"/>
  <c r="N21" i="37"/>
  <c r="AE21" i="37"/>
  <c r="AF21" i="37"/>
  <c r="L21" i="37"/>
  <c r="R21" i="37"/>
  <c r="B21" i="37"/>
  <c r="D21" i="37"/>
  <c r="G21" i="37"/>
  <c r="AC21" i="37"/>
  <c r="E21" i="37"/>
  <c r="W21" i="37"/>
  <c r="C21" i="37"/>
  <c r="O21" i="37"/>
  <c r="M21" i="37"/>
  <c r="Y21" i="37"/>
  <c r="AD21" i="37"/>
  <c r="U21" i="37"/>
  <c r="H21" i="37"/>
  <c r="K21" i="37"/>
  <c r="AB21" i="37"/>
  <c r="F21" i="37"/>
  <c r="J21" i="37"/>
  <c r="V21" i="37"/>
  <c r="S21" i="37"/>
  <c r="P21" i="37"/>
  <c r="X21" i="37"/>
  <c r="Y37" i="37"/>
  <c r="AE37" i="37"/>
  <c r="X37" i="37"/>
  <c r="D37" i="37"/>
  <c r="AF37" i="37"/>
  <c r="AB37" i="37"/>
  <c r="L37" i="37"/>
  <c r="AA37" i="37"/>
  <c r="N37" i="37"/>
  <c r="I37" i="37"/>
  <c r="J37" i="37"/>
  <c r="V37" i="37"/>
  <c r="G37" i="37"/>
  <c r="C37" i="37"/>
  <c r="B37" i="37"/>
  <c r="M37" i="37"/>
  <c r="S37" i="37"/>
  <c r="U37" i="37"/>
  <c r="AC37" i="37"/>
  <c r="K37" i="37"/>
  <c r="O37" i="37"/>
  <c r="W37" i="37"/>
  <c r="Z37" i="37"/>
  <c r="Q37" i="37"/>
  <c r="R37" i="37"/>
  <c r="F37" i="37"/>
  <c r="T37" i="37"/>
  <c r="H37" i="37"/>
  <c r="AD37" i="37"/>
  <c r="P37" i="37"/>
  <c r="E37" i="37"/>
  <c r="AA41" i="37"/>
  <c r="D41" i="37"/>
  <c r="L41" i="37"/>
  <c r="B41" i="37"/>
  <c r="O41" i="37"/>
  <c r="AC41" i="37"/>
  <c r="G41" i="37"/>
  <c r="P41" i="37"/>
  <c r="U41" i="37"/>
  <c r="X41" i="37"/>
  <c r="AE41" i="37"/>
  <c r="T41" i="37"/>
  <c r="V41" i="37"/>
  <c r="AF41" i="37"/>
  <c r="C41" i="37"/>
  <c r="W41" i="37"/>
  <c r="E41" i="37"/>
  <c r="J41" i="37"/>
  <c r="K41" i="37"/>
  <c r="M41" i="37"/>
  <c r="Q41" i="37"/>
  <c r="R41" i="37"/>
  <c r="S41" i="37"/>
  <c r="Y41" i="37"/>
  <c r="N41" i="37"/>
  <c r="F41" i="37"/>
  <c r="AD41" i="37"/>
  <c r="Z41" i="37"/>
  <c r="I41" i="37"/>
  <c r="H41" i="37"/>
  <c r="AB41" i="37"/>
  <c r="Y10" i="37"/>
  <c r="C10" i="37"/>
  <c r="AF10" i="37"/>
  <c r="Q10" i="37"/>
  <c r="F10" i="37"/>
  <c r="O10" i="37"/>
  <c r="B10" i="37"/>
  <c r="I10" i="37"/>
  <c r="U10" i="37"/>
  <c r="AB10" i="37"/>
  <c r="P10" i="37"/>
  <c r="M10" i="37"/>
  <c r="J10" i="37"/>
  <c r="AA10" i="37"/>
  <c r="X10" i="37"/>
  <c r="AC10" i="37"/>
  <c r="Z10" i="37"/>
  <c r="AD10" i="37"/>
  <c r="L10" i="37"/>
  <c r="H10" i="37"/>
  <c r="G10" i="37"/>
  <c r="E10" i="37"/>
  <c r="AE10" i="37"/>
  <c r="K10" i="37"/>
  <c r="D10" i="37"/>
  <c r="T10" i="37"/>
  <c r="V10" i="37"/>
  <c r="W10" i="37"/>
  <c r="S10" i="37"/>
  <c r="N10" i="37"/>
  <c r="R10" i="37"/>
  <c r="AB13" i="37"/>
  <c r="V13" i="37"/>
  <c r="H13" i="37"/>
  <c r="AE13" i="37"/>
  <c r="Y13" i="37"/>
  <c r="P13" i="37"/>
  <c r="AA13" i="37"/>
  <c r="G13" i="37"/>
  <c r="X13" i="37"/>
  <c r="AD13" i="37"/>
  <c r="AF13" i="37"/>
  <c r="Q13" i="37"/>
  <c r="I13" i="37"/>
  <c r="AC13" i="37"/>
  <c r="J13" i="37"/>
  <c r="R13" i="37"/>
  <c r="N13" i="37"/>
  <c r="E13" i="37"/>
  <c r="W13" i="37"/>
  <c r="Z13" i="37"/>
  <c r="C13" i="37"/>
  <c r="U13" i="37"/>
  <c r="K13" i="37"/>
  <c r="S13" i="37"/>
  <c r="D13" i="37"/>
  <c r="F13" i="37"/>
  <c r="M13" i="37"/>
  <c r="L13" i="37"/>
  <c r="B13" i="37"/>
  <c r="O13" i="37"/>
  <c r="T13" i="37"/>
  <c r="E27" i="37"/>
  <c r="AB27" i="37"/>
  <c r="N27" i="37"/>
  <c r="T27" i="37"/>
  <c r="U27" i="37"/>
  <c r="AA27" i="37"/>
  <c r="I27" i="37"/>
  <c r="L27" i="37"/>
  <c r="S27" i="37"/>
  <c r="G27" i="37"/>
  <c r="J27" i="37"/>
  <c r="P27" i="37"/>
  <c r="Q27" i="37"/>
  <c r="Z27" i="37"/>
  <c r="D27" i="37"/>
  <c r="F27" i="37"/>
  <c r="R27" i="37"/>
  <c r="B27" i="37"/>
  <c r="V27" i="37"/>
  <c r="C27" i="37"/>
  <c r="AD27" i="37"/>
  <c r="M27" i="37"/>
  <c r="X27" i="37"/>
  <c r="K27" i="37"/>
  <c r="AE27" i="37"/>
  <c r="AF27" i="37"/>
  <c r="H27" i="37"/>
  <c r="W27" i="37"/>
  <c r="AC27" i="37"/>
  <c r="O27" i="37"/>
  <c r="Y27" i="37"/>
  <c r="S36" i="37"/>
  <c r="Y36" i="37"/>
  <c r="C36" i="37"/>
  <c r="D36" i="37"/>
  <c r="E36" i="37"/>
  <c r="AD36" i="37"/>
  <c r="T36" i="37"/>
  <c r="N36" i="37"/>
  <c r="AF36" i="37"/>
  <c r="K36" i="37"/>
  <c r="F36" i="37"/>
  <c r="B36" i="37"/>
  <c r="X36" i="37"/>
  <c r="J36" i="37"/>
  <c r="G36" i="37"/>
  <c r="Q36" i="37"/>
  <c r="AB36" i="37"/>
  <c r="H36" i="37"/>
  <c r="W36" i="37"/>
  <c r="O36" i="37"/>
  <c r="P36" i="37"/>
  <c r="V36" i="37"/>
  <c r="U36" i="37"/>
  <c r="AC36" i="37"/>
  <c r="I36" i="37"/>
  <c r="AA36" i="37"/>
  <c r="R36" i="37"/>
  <c r="L36" i="37"/>
  <c r="M36" i="37"/>
  <c r="Z36" i="37"/>
  <c r="AE36" i="37"/>
  <c r="K19" i="37"/>
  <c r="U19" i="37"/>
  <c r="P19" i="37"/>
  <c r="J19" i="37"/>
  <c r="B19" i="37"/>
  <c r="O19" i="37"/>
  <c r="C19" i="37"/>
  <c r="F19" i="37"/>
  <c r="L19" i="37"/>
  <c r="M19" i="37"/>
  <c r="G19" i="37"/>
  <c r="AE19" i="37"/>
  <c r="AD19" i="37"/>
  <c r="Q19" i="37"/>
  <c r="AC19" i="37"/>
  <c r="AA19" i="37"/>
  <c r="I19" i="37"/>
  <c r="N19" i="37"/>
  <c r="Y19" i="37"/>
  <c r="E19" i="37"/>
  <c r="S19" i="37"/>
  <c r="V19" i="37"/>
  <c r="AF19" i="37"/>
  <c r="Z19" i="37"/>
  <c r="D19" i="37"/>
  <c r="T19" i="37"/>
  <c r="AB19" i="37"/>
  <c r="X19" i="37"/>
  <c r="H19" i="37"/>
  <c r="W19" i="37"/>
  <c r="R19" i="37"/>
  <c r="Z26" i="37"/>
  <c r="Q26" i="37"/>
  <c r="Y26" i="37"/>
  <c r="D26" i="37"/>
  <c r="R26" i="37"/>
  <c r="AF26" i="37"/>
  <c r="X26" i="37"/>
  <c r="G26" i="37"/>
  <c r="N26" i="37"/>
  <c r="W26" i="37"/>
  <c r="F26" i="37"/>
  <c r="U26" i="37"/>
  <c r="V26" i="37"/>
  <c r="P26" i="37"/>
  <c r="AC26" i="37"/>
  <c r="M26" i="37"/>
  <c r="L26" i="37"/>
  <c r="H26" i="37"/>
  <c r="C26" i="37"/>
  <c r="E26" i="37"/>
  <c r="T26" i="37"/>
  <c r="S26" i="37"/>
  <c r="AE26" i="37"/>
  <c r="B26" i="37"/>
  <c r="K26" i="37"/>
  <c r="AB26" i="37"/>
  <c r="J26" i="37"/>
  <c r="O26" i="37"/>
  <c r="AD26" i="37"/>
  <c r="AA26" i="37"/>
  <c r="I26" i="37"/>
  <c r="L33" i="37"/>
  <c r="S33" i="37"/>
  <c r="Q33" i="37"/>
  <c r="AF33" i="37"/>
  <c r="P33" i="37"/>
  <c r="K33" i="37"/>
  <c r="O33" i="37"/>
  <c r="H33" i="37"/>
  <c r="B33" i="37"/>
  <c r="I33" i="37"/>
  <c r="AA33" i="37"/>
  <c r="C33" i="37"/>
  <c r="M33" i="37"/>
  <c r="Y33" i="37"/>
  <c r="X33" i="37"/>
  <c r="G33" i="37"/>
  <c r="R33" i="37"/>
  <c r="AC33" i="37"/>
  <c r="V33" i="37"/>
  <c r="W33" i="37"/>
  <c r="N33" i="37"/>
  <c r="AD33" i="37"/>
  <c r="Z33" i="37"/>
  <c r="AE33" i="37"/>
  <c r="T33" i="37"/>
  <c r="J33" i="37"/>
  <c r="U33" i="37"/>
  <c r="E33" i="37"/>
  <c r="D33" i="37"/>
  <c r="F33" i="37"/>
  <c r="AB33" i="37"/>
  <c r="Y9" i="37"/>
  <c r="AA9" i="37"/>
  <c r="I9" i="37"/>
  <c r="B9" i="37"/>
  <c r="AC9" i="37"/>
  <c r="Q9" i="37"/>
  <c r="C9" i="37"/>
  <c r="Z9" i="37"/>
  <c r="AB9" i="37"/>
  <c r="V9" i="37"/>
  <c r="P9" i="37"/>
  <c r="D9" i="37"/>
  <c r="AD9" i="37"/>
  <c r="X9" i="37"/>
  <c r="K9" i="37"/>
  <c r="T9" i="37"/>
  <c r="E9" i="37"/>
  <c r="O9" i="37"/>
  <c r="AF9" i="37"/>
  <c r="S9" i="37"/>
  <c r="M9" i="37"/>
  <c r="W9" i="37"/>
  <c r="L9" i="37"/>
  <c r="U9" i="37"/>
  <c r="AE9" i="37"/>
  <c r="G9" i="37"/>
  <c r="R9" i="37"/>
  <c r="N9" i="37"/>
  <c r="H9" i="37"/>
  <c r="J9" i="37"/>
  <c r="F9" i="37"/>
  <c r="Z30" i="37"/>
  <c r="V30" i="37"/>
  <c r="D30" i="37"/>
  <c r="U30" i="37"/>
  <c r="AA30" i="37"/>
  <c r="I30" i="37"/>
  <c r="E30" i="37"/>
  <c r="C30" i="37"/>
  <c r="P30" i="37"/>
  <c r="G30" i="37"/>
  <c r="F30" i="37"/>
  <c r="M30" i="37"/>
  <c r="O30" i="37"/>
  <c r="L30" i="37"/>
  <c r="Q30" i="37"/>
  <c r="N30" i="37"/>
  <c r="AB30" i="37"/>
  <c r="H30" i="37"/>
  <c r="AE30" i="37"/>
  <c r="S30" i="37"/>
  <c r="T30" i="37"/>
  <c r="K30" i="37"/>
  <c r="AD30" i="37"/>
  <c r="AC30" i="37"/>
  <c r="R30" i="37"/>
  <c r="AF30" i="37"/>
  <c r="Y30" i="37"/>
  <c r="B30" i="37"/>
  <c r="X30" i="37"/>
  <c r="W30" i="37"/>
  <c r="J30" i="37"/>
  <c r="E34" i="37"/>
  <c r="T34" i="37"/>
  <c r="Y34" i="37"/>
  <c r="I34" i="37"/>
  <c r="P34" i="37"/>
  <c r="AD34" i="37"/>
  <c r="L34" i="37"/>
  <c r="D34" i="37"/>
  <c r="AA34" i="37"/>
  <c r="AF34" i="37"/>
  <c r="X34" i="37"/>
  <c r="Q34" i="37"/>
  <c r="C34" i="37"/>
  <c r="N34" i="37"/>
  <c r="B34" i="37"/>
  <c r="W34" i="37"/>
  <c r="F34" i="37"/>
  <c r="Z34" i="37"/>
  <c r="K34" i="37"/>
  <c r="AC34" i="37"/>
  <c r="J34" i="37"/>
  <c r="AE34" i="37"/>
  <c r="H34" i="37"/>
  <c r="O34" i="37"/>
  <c r="AB34" i="37"/>
  <c r="U34" i="37"/>
  <c r="V34" i="37"/>
  <c r="M34" i="37"/>
  <c r="G34" i="37"/>
  <c r="S34" i="37"/>
  <c r="R34" i="37"/>
  <c r="Y17" i="37"/>
  <c r="S17" i="37"/>
  <c r="C17" i="37"/>
  <c r="V17" i="37"/>
  <c r="P17" i="37"/>
  <c r="AD17" i="37"/>
  <c r="G17" i="37"/>
  <c r="AB17" i="37"/>
  <c r="X17" i="37"/>
  <c r="AA17" i="37"/>
  <c r="K17" i="37"/>
  <c r="U17" i="37"/>
  <c r="AE17" i="37"/>
  <c r="B17" i="37"/>
  <c r="AC17" i="37"/>
  <c r="J17" i="37"/>
  <c r="L17" i="37"/>
  <c r="F17" i="37"/>
  <c r="T17" i="37"/>
  <c r="R17" i="37"/>
  <c r="N17" i="37"/>
  <c r="H17" i="37"/>
  <c r="Z17" i="37"/>
  <c r="D17" i="37"/>
  <c r="O17" i="37"/>
  <c r="W17" i="37"/>
  <c r="E17" i="37"/>
  <c r="M17" i="37"/>
  <c r="AF17" i="37"/>
  <c r="I17" i="37"/>
  <c r="Q17" i="37"/>
  <c r="R15" i="37"/>
  <c r="V15" i="37"/>
  <c r="F15" i="37"/>
  <c r="L15" i="37"/>
  <c r="P15" i="37"/>
  <c r="D15" i="37"/>
  <c r="AC15" i="37"/>
  <c r="O15" i="37"/>
  <c r="AE15" i="37"/>
  <c r="J15" i="37"/>
  <c r="N15" i="37"/>
  <c r="T15" i="37"/>
  <c r="AA15" i="37"/>
  <c r="K15" i="37"/>
  <c r="AB15" i="37"/>
  <c r="W15" i="37"/>
  <c r="Z15" i="37"/>
  <c r="E15" i="37"/>
  <c r="AF15" i="37"/>
  <c r="C15" i="37"/>
  <c r="H15" i="37"/>
  <c r="Y15" i="37"/>
  <c r="U15" i="37"/>
  <c r="B15" i="37"/>
  <c r="X15" i="37"/>
  <c r="S15" i="37"/>
  <c r="I15" i="37"/>
  <c r="M15" i="37"/>
  <c r="Q15" i="37"/>
  <c r="G15" i="37"/>
  <c r="AD15" i="37"/>
  <c r="AE35" i="37"/>
  <c r="L35" i="37"/>
  <c r="B35" i="37"/>
  <c r="R35" i="37"/>
  <c r="AA35" i="37"/>
  <c r="Z35" i="37"/>
  <c r="E35" i="37"/>
  <c r="J35" i="37"/>
  <c r="S35" i="37"/>
  <c r="I35" i="37"/>
  <c r="AC35" i="37"/>
  <c r="U35" i="37"/>
  <c r="X35" i="37"/>
  <c r="K35" i="37"/>
  <c r="AF35" i="37"/>
  <c r="H35" i="37"/>
  <c r="Y35" i="37"/>
  <c r="F35" i="37"/>
  <c r="D35" i="37"/>
  <c r="C35" i="37"/>
  <c r="V35" i="37"/>
  <c r="Q35" i="37"/>
  <c r="P35" i="37"/>
  <c r="AD35" i="37"/>
  <c r="T35" i="37"/>
  <c r="AB35" i="37"/>
  <c r="G35" i="37"/>
  <c r="N35" i="37"/>
  <c r="O35" i="37"/>
  <c r="W35" i="37"/>
  <c r="M35" i="37"/>
  <c r="X11" i="37"/>
  <c r="D11" i="37"/>
  <c r="O11" i="37"/>
  <c r="Y11" i="37"/>
  <c r="F11" i="37"/>
  <c r="AF11" i="37"/>
  <c r="Z11" i="37"/>
  <c r="AB11" i="37"/>
  <c r="AE11" i="37"/>
  <c r="B11" i="37"/>
  <c r="K11" i="37"/>
  <c r="N11" i="37"/>
  <c r="U11" i="37"/>
  <c r="Q11" i="37"/>
  <c r="AD11" i="37"/>
  <c r="AA11" i="37"/>
  <c r="C11" i="37"/>
  <c r="M11" i="37"/>
  <c r="P11" i="37"/>
  <c r="S11" i="37"/>
  <c r="G11" i="37"/>
  <c r="E11" i="37"/>
  <c r="R11" i="37"/>
  <c r="I11" i="37"/>
  <c r="W11" i="37"/>
  <c r="T11" i="37"/>
  <c r="H11" i="37"/>
  <c r="AC11" i="37"/>
  <c r="L11" i="37"/>
  <c r="J11" i="37"/>
  <c r="V11" i="37"/>
  <c r="AB22" i="37"/>
  <c r="S22" i="37"/>
  <c r="J22" i="37"/>
  <c r="E22" i="37"/>
  <c r="X22" i="37"/>
  <c r="AC22" i="37"/>
  <c r="U22" i="37"/>
  <c r="H22" i="37"/>
  <c r="K22" i="37"/>
  <c r="T22" i="37"/>
  <c r="C22" i="37"/>
  <c r="W22" i="37"/>
  <c r="V22" i="37"/>
  <c r="I22" i="37"/>
  <c r="AA22" i="37"/>
  <c r="P22" i="37"/>
  <c r="M22" i="37"/>
  <c r="R22" i="37"/>
  <c r="AF22" i="37"/>
  <c r="F22" i="37"/>
  <c r="AD22" i="37"/>
  <c r="AE22" i="37"/>
  <c r="Y22" i="37"/>
  <c r="Q22" i="37"/>
  <c r="L22" i="37"/>
  <c r="N22" i="37"/>
  <c r="B22" i="37"/>
  <c r="Z22" i="37"/>
  <c r="D22" i="37"/>
  <c r="O22" i="37"/>
  <c r="G22" i="37"/>
  <c r="Y24" i="37"/>
  <c r="N24" i="37"/>
  <c r="W24" i="37"/>
  <c r="G24" i="37"/>
  <c r="AA24" i="37"/>
  <c r="S24" i="37"/>
  <c r="AF24" i="37"/>
  <c r="F24" i="37"/>
  <c r="Q24" i="37"/>
  <c r="X24" i="37"/>
  <c r="K24" i="37"/>
  <c r="B24" i="37"/>
  <c r="J24" i="37"/>
  <c r="O24" i="37"/>
  <c r="AE24" i="37"/>
  <c r="I24" i="37"/>
  <c r="V24" i="37"/>
  <c r="C24" i="37"/>
  <c r="P24" i="37"/>
  <c r="U24" i="37"/>
  <c r="T24" i="37"/>
  <c r="H24" i="37"/>
  <c r="AC24" i="37"/>
  <c r="AB24" i="37"/>
  <c r="R24" i="37"/>
  <c r="D24" i="37"/>
  <c r="AD24" i="37"/>
  <c r="M24" i="37"/>
  <c r="E24" i="37"/>
  <c r="Z24" i="37"/>
  <c r="L24" i="37"/>
  <c r="AA31" i="37"/>
  <c r="L31" i="37"/>
  <c r="R31" i="37"/>
  <c r="Y31" i="37"/>
  <c r="V31" i="37"/>
  <c r="AD31" i="37"/>
  <c r="U31" i="37"/>
  <c r="W31" i="37"/>
  <c r="O31" i="37"/>
  <c r="K31" i="37"/>
  <c r="AE31" i="37"/>
  <c r="Z31" i="37"/>
  <c r="Q31" i="37"/>
  <c r="F31" i="37"/>
  <c r="D31" i="37"/>
  <c r="G31" i="37"/>
  <c r="H31" i="37"/>
  <c r="N31" i="37"/>
  <c r="B31" i="37"/>
  <c r="AB31" i="37"/>
  <c r="P31" i="37"/>
  <c r="J31" i="37"/>
  <c r="M31" i="37"/>
  <c r="AC31" i="37"/>
  <c r="E31" i="37"/>
  <c r="I31" i="37"/>
  <c r="C31" i="37"/>
  <c r="T31" i="37"/>
  <c r="S31" i="37"/>
  <c r="X31" i="37"/>
  <c r="AF31" i="37"/>
  <c r="AB16" i="37"/>
  <c r="K16" i="37"/>
  <c r="AF16" i="37"/>
  <c r="J16" i="37"/>
  <c r="R16" i="37"/>
  <c r="AE16" i="37"/>
  <c r="Q16" i="37"/>
  <c r="G16" i="37"/>
  <c r="H16" i="37"/>
  <c r="N16" i="37"/>
  <c r="AD16" i="37"/>
  <c r="U16" i="37"/>
  <c r="S16" i="37"/>
  <c r="Z16" i="37"/>
  <c r="C16" i="37"/>
  <c r="W16" i="37"/>
  <c r="Y16" i="37"/>
  <c r="P16" i="37"/>
  <c r="I16" i="37"/>
  <c r="AC16" i="37"/>
  <c r="L16" i="37"/>
  <c r="T16" i="37"/>
  <c r="V16" i="37"/>
  <c r="F16" i="37"/>
  <c r="O16" i="37"/>
  <c r="AA16" i="37"/>
  <c r="E16" i="37"/>
  <c r="B16" i="37"/>
  <c r="M16" i="37"/>
  <c r="D16" i="37"/>
  <c r="X16" i="37"/>
  <c r="Z20" i="37"/>
  <c r="Q20" i="37"/>
  <c r="Y20" i="37"/>
  <c r="N20" i="37"/>
  <c r="C20" i="37"/>
  <c r="H20" i="37"/>
  <c r="L20" i="37"/>
  <c r="AB20" i="37"/>
  <c r="AD20" i="37"/>
  <c r="V20" i="37"/>
  <c r="AF20" i="37"/>
  <c r="B20" i="37"/>
  <c r="F20" i="37"/>
  <c r="AA20" i="37"/>
  <c r="E20" i="37"/>
  <c r="G20" i="37"/>
  <c r="J20" i="37"/>
  <c r="M20" i="37"/>
  <c r="S20" i="37"/>
  <c r="I20" i="37"/>
  <c r="W20" i="37"/>
  <c r="T20" i="37"/>
  <c r="AE20" i="37"/>
  <c r="AC20" i="37"/>
  <c r="D20" i="37"/>
  <c r="K20" i="37"/>
  <c r="P20" i="37"/>
  <c r="X20" i="37"/>
  <c r="U20" i="37"/>
  <c r="O20" i="37"/>
  <c r="R20" i="37"/>
  <c r="R18" i="37"/>
  <c r="B18" i="37"/>
  <c r="Q18" i="37"/>
  <c r="C18" i="37"/>
  <c r="M18" i="37"/>
  <c r="AE18" i="37"/>
  <c r="W18" i="37"/>
  <c r="X18" i="37"/>
  <c r="F18" i="37"/>
  <c r="L18" i="37"/>
  <c r="AD18" i="37"/>
  <c r="V18" i="37"/>
  <c r="O18" i="37"/>
  <c r="K18" i="37"/>
  <c r="AC18" i="37"/>
  <c r="AA18" i="37"/>
  <c r="N18" i="37"/>
  <c r="J18" i="37"/>
  <c r="S18" i="37"/>
  <c r="P18" i="37"/>
  <c r="E18" i="37"/>
  <c r="I18" i="37"/>
  <c r="G18" i="37"/>
  <c r="AB18" i="37"/>
  <c r="H18" i="37"/>
  <c r="T18" i="37"/>
  <c r="Z18" i="37"/>
  <c r="U18" i="37"/>
  <c r="Y18" i="37"/>
  <c r="D18" i="37"/>
  <c r="AF18" i="37"/>
  <c r="AF12" i="37"/>
  <c r="R12" i="37"/>
  <c r="B12" i="37"/>
  <c r="F12" i="37"/>
  <c r="E12" i="37"/>
  <c r="N12" i="37"/>
  <c r="K12" i="37"/>
  <c r="Q12" i="37"/>
  <c r="J12" i="37"/>
  <c r="M12" i="37"/>
  <c r="P12" i="37"/>
  <c r="W12" i="37"/>
  <c r="C12" i="37"/>
  <c r="L12" i="37"/>
  <c r="D12" i="37"/>
  <c r="V12" i="37"/>
  <c r="Y12" i="37"/>
  <c r="Z12" i="37"/>
  <c r="AB12" i="37"/>
  <c r="G12" i="37"/>
  <c r="O12" i="37"/>
  <c r="I12" i="37"/>
  <c r="AD12" i="37"/>
  <c r="H12" i="37"/>
  <c r="AA12" i="37"/>
  <c r="U12" i="37"/>
  <c r="AC12" i="37"/>
  <c r="T12" i="37"/>
  <c r="S12" i="37"/>
  <c r="X12" i="37"/>
  <c r="AE12" i="37"/>
  <c r="Z38" i="37"/>
  <c r="T38" i="37"/>
  <c r="D38" i="37"/>
  <c r="H38" i="37"/>
  <c r="AD38" i="37"/>
  <c r="AF38" i="37"/>
  <c r="P38" i="37"/>
  <c r="AB38" i="37"/>
  <c r="F38" i="37"/>
  <c r="I38" i="37"/>
  <c r="U38" i="37"/>
  <c r="C38" i="37"/>
  <c r="V38" i="37"/>
  <c r="M38" i="37"/>
  <c r="X38" i="37"/>
  <c r="AC38" i="37"/>
  <c r="G38" i="37"/>
  <c r="Y38" i="37"/>
  <c r="J38" i="37"/>
  <c r="O38" i="37"/>
  <c r="N38" i="37"/>
  <c r="Q38" i="37"/>
  <c r="AA38" i="37"/>
  <c r="K38" i="37"/>
  <c r="L38" i="37"/>
  <c r="W38" i="37"/>
  <c r="E38" i="37"/>
  <c r="R38" i="37"/>
  <c r="AE38" i="37"/>
  <c r="S38" i="37"/>
  <c r="B38" i="37"/>
  <c r="AE25" i="37"/>
  <c r="N25" i="37"/>
  <c r="AF25" i="37"/>
  <c r="D25" i="37"/>
  <c r="M25" i="37"/>
  <c r="Z25" i="37"/>
  <c r="AC25" i="37"/>
  <c r="X25" i="37"/>
  <c r="K25" i="37"/>
  <c r="I25" i="37"/>
  <c r="Q25" i="37"/>
  <c r="H25" i="37"/>
  <c r="S25" i="37"/>
  <c r="Y25" i="37"/>
  <c r="C25" i="37"/>
  <c r="V25" i="37"/>
  <c r="AD25" i="37"/>
  <c r="B25" i="37"/>
  <c r="R25" i="37"/>
  <c r="E25" i="37"/>
  <c r="W25" i="37"/>
  <c r="P25" i="37"/>
  <c r="L25" i="37"/>
  <c r="G25" i="37"/>
  <c r="T25" i="37"/>
  <c r="O25" i="37"/>
  <c r="J25" i="37"/>
  <c r="AB25" i="37"/>
  <c r="AA25" i="37"/>
  <c r="F25" i="37"/>
  <c r="U25" i="37"/>
  <c r="C5" i="27"/>
  <c r="E4" i="27"/>
  <c r="D4" i="27"/>
  <c r="C4" i="27"/>
  <c r="C7" i="27" s="1"/>
  <c r="M19" i="27" s="1"/>
  <c r="Y39" i="37" l="1"/>
  <c r="Y50" i="37" s="1"/>
  <c r="J39" i="37"/>
  <c r="J50" i="37" s="1"/>
  <c r="AD39" i="37"/>
  <c r="AD51" i="37" s="1"/>
  <c r="AD52" i="37" s="1"/>
  <c r="Q39" i="37"/>
  <c r="Q50" i="37" s="1"/>
  <c r="L39" i="37"/>
  <c r="W39" i="37"/>
  <c r="K39" i="37"/>
  <c r="I39" i="37"/>
  <c r="H28" i="37"/>
  <c r="H45" i="37" s="1"/>
  <c r="M28" i="37"/>
  <c r="M45" i="37" s="1"/>
  <c r="AD28" i="37"/>
  <c r="AD45" i="37" s="1"/>
  <c r="AC28" i="37"/>
  <c r="AC45" i="37" s="1"/>
  <c r="I53" i="37"/>
  <c r="I54" i="37"/>
  <c r="I55" i="37" s="1"/>
  <c r="Q53" i="37"/>
  <c r="Q54" i="37"/>
  <c r="Q55" i="37" s="1"/>
  <c r="V53" i="37"/>
  <c r="V54" i="37"/>
  <c r="V55" i="37" s="1"/>
  <c r="O53" i="37"/>
  <c r="O54" i="37"/>
  <c r="O55" i="37" s="1"/>
  <c r="S39" i="37"/>
  <c r="X39" i="37"/>
  <c r="T39" i="37"/>
  <c r="O39" i="37"/>
  <c r="AA39" i="37"/>
  <c r="N28" i="37"/>
  <c r="N45" i="37" s="1"/>
  <c r="S28" i="37"/>
  <c r="S45" i="37" s="1"/>
  <c r="D28" i="37"/>
  <c r="D45" i="37" s="1"/>
  <c r="B28" i="37"/>
  <c r="B45" i="37" s="1"/>
  <c r="Z53" i="37"/>
  <c r="Z54" i="37"/>
  <c r="Z55" i="37" s="1"/>
  <c r="M53" i="37"/>
  <c r="M54" i="37"/>
  <c r="M55" i="37" s="1"/>
  <c r="T54" i="37"/>
  <c r="T55" i="37" s="1"/>
  <c r="T53" i="37"/>
  <c r="B53" i="37"/>
  <c r="B54" i="37"/>
  <c r="B55" i="37" s="1"/>
  <c r="B39" i="37"/>
  <c r="M39" i="37"/>
  <c r="U39" i="37"/>
  <c r="R28" i="37"/>
  <c r="R45" i="37" s="1"/>
  <c r="AF28" i="37"/>
  <c r="AF45" i="37" s="1"/>
  <c r="P28" i="37"/>
  <c r="P45" i="37" s="1"/>
  <c r="I28" i="37"/>
  <c r="I45" i="37" s="1"/>
  <c r="AD53" i="37"/>
  <c r="AD54" i="37"/>
  <c r="AD55" i="37" s="1"/>
  <c r="K53" i="37"/>
  <c r="K54" i="37"/>
  <c r="K55" i="37" s="1"/>
  <c r="AE53" i="37"/>
  <c r="AE54" i="37"/>
  <c r="AE55" i="37" s="1"/>
  <c r="L54" i="37"/>
  <c r="L55" i="37" s="1"/>
  <c r="L53" i="37"/>
  <c r="AE39" i="37"/>
  <c r="F39" i="37"/>
  <c r="V28" i="37"/>
  <c r="V45" i="37" s="1"/>
  <c r="AA28" i="37"/>
  <c r="AA45" i="37" s="1"/>
  <c r="F53" i="37"/>
  <c r="F54" i="37"/>
  <c r="F55" i="37" s="1"/>
  <c r="J53" i="37"/>
  <c r="J54" i="37"/>
  <c r="J55" i="37" s="1"/>
  <c r="X53" i="37"/>
  <c r="X54" i="37"/>
  <c r="X55" i="37" s="1"/>
  <c r="D54" i="37"/>
  <c r="D55" i="37" s="1"/>
  <c r="D53" i="37"/>
  <c r="O28" i="37"/>
  <c r="O45" i="37" s="1"/>
  <c r="AF39" i="37"/>
  <c r="H39" i="37"/>
  <c r="G39" i="37"/>
  <c r="V39" i="37"/>
  <c r="AE28" i="37"/>
  <c r="AE45" i="37" s="1"/>
  <c r="E28" i="37"/>
  <c r="E45" i="37" s="1"/>
  <c r="AB28" i="37"/>
  <c r="AB45" i="37" s="1"/>
  <c r="Y28" i="37"/>
  <c r="Y45" i="37" s="1"/>
  <c r="N53" i="37"/>
  <c r="N54" i="37"/>
  <c r="N55" i="37" s="1"/>
  <c r="E53" i="37"/>
  <c r="E54" i="37"/>
  <c r="E55" i="37" s="1"/>
  <c r="U53" i="37"/>
  <c r="U54" i="37"/>
  <c r="U55" i="37" s="1"/>
  <c r="AA53" i="37"/>
  <c r="AA54" i="37"/>
  <c r="AA55" i="37" s="1"/>
  <c r="G28" i="37"/>
  <c r="G45" i="37" s="1"/>
  <c r="R39" i="37"/>
  <c r="AB39" i="37"/>
  <c r="P39" i="37"/>
  <c r="Z39" i="37"/>
  <c r="U28" i="37"/>
  <c r="U45" i="37" s="1"/>
  <c r="T28" i="37"/>
  <c r="T45" i="37" s="1"/>
  <c r="Z28" i="37"/>
  <c r="Z45" i="37" s="1"/>
  <c r="Y53" i="37"/>
  <c r="Y54" i="37"/>
  <c r="Y55" i="37" s="1"/>
  <c r="W53" i="37"/>
  <c r="W54" i="37"/>
  <c r="W55" i="37" s="1"/>
  <c r="P53" i="37"/>
  <c r="P54" i="37"/>
  <c r="P55" i="37" s="1"/>
  <c r="D39" i="37"/>
  <c r="AC39" i="37"/>
  <c r="N39" i="37"/>
  <c r="C39" i="37"/>
  <c r="F28" i="37"/>
  <c r="F45" i="37" s="1"/>
  <c r="L28" i="37"/>
  <c r="L45" i="37" s="1"/>
  <c r="K28" i="37"/>
  <c r="K45" i="37" s="1"/>
  <c r="C28" i="37"/>
  <c r="C45" i="37" s="1"/>
  <c r="AB54" i="37"/>
  <c r="AB55" i="37" s="1"/>
  <c r="AB53" i="37"/>
  <c r="S53" i="37"/>
  <c r="S54" i="37"/>
  <c r="S55" i="37" s="1"/>
  <c r="C53" i="37"/>
  <c r="C54" i="37"/>
  <c r="C55" i="37" s="1"/>
  <c r="D3" i="39" a="1"/>
  <c r="G53" i="37"/>
  <c r="G54" i="37"/>
  <c r="G55" i="37" s="1"/>
  <c r="E39" i="37"/>
  <c r="J28" i="37"/>
  <c r="J45" i="37" s="1"/>
  <c r="W28" i="37"/>
  <c r="W45" i="37" s="1"/>
  <c r="X28" i="37"/>
  <c r="X45" i="37" s="1"/>
  <c r="Q28" i="37"/>
  <c r="Q45" i="37" s="1"/>
  <c r="H53" i="37"/>
  <c r="H54" i="37"/>
  <c r="H55" i="37" s="1"/>
  <c r="R53" i="37"/>
  <c r="R54" i="37"/>
  <c r="R55" i="37" s="1"/>
  <c r="AF53" i="37"/>
  <c r="AF54" i="37"/>
  <c r="AF55" i="37" s="1"/>
  <c r="AC53" i="37"/>
  <c r="AC54" i="37"/>
  <c r="AC55" i="37" s="1"/>
  <c r="L3" i="30" a="1"/>
  <c r="U44" i="30" s="1"/>
  <c r="I3" i="30" a="1"/>
  <c r="H3" i="30" a="1"/>
  <c r="H3" i="30" s="1"/>
  <c r="G3" i="30" a="1"/>
  <c r="G3" i="30" s="1"/>
  <c r="J51" i="37" l="1"/>
  <c r="J52" i="37" s="1"/>
  <c r="Y51" i="37"/>
  <c r="Y52" i="37" s="1"/>
  <c r="Q51" i="37"/>
  <c r="Q52" i="37" s="1"/>
  <c r="AD50" i="37"/>
  <c r="K47" i="37"/>
  <c r="K48" i="37"/>
  <c r="K49" i="37" s="1"/>
  <c r="T48" i="37"/>
  <c r="T49" i="37" s="1"/>
  <c r="T47" i="37"/>
  <c r="AB48" i="37"/>
  <c r="AB49" i="37" s="1"/>
  <c r="AB47" i="37"/>
  <c r="AA48" i="37"/>
  <c r="AA49" i="37" s="1"/>
  <c r="AA47" i="37"/>
  <c r="U51" i="37"/>
  <c r="U52" i="37" s="1"/>
  <c r="U50" i="37"/>
  <c r="O50" i="37"/>
  <c r="O51" i="37"/>
  <c r="O52" i="37" s="1"/>
  <c r="M48" i="37"/>
  <c r="M49" i="37" s="1"/>
  <c r="M47" i="37"/>
  <c r="U48" i="37"/>
  <c r="U49" i="37" s="1"/>
  <c r="U47" i="37"/>
  <c r="E48" i="37"/>
  <c r="E49" i="37" s="1"/>
  <c r="E47" i="37"/>
  <c r="V48" i="37"/>
  <c r="V49" i="37" s="1"/>
  <c r="V47" i="37"/>
  <c r="M51" i="37"/>
  <c r="M52" i="37" s="1"/>
  <c r="M50" i="37"/>
  <c r="T51" i="37"/>
  <c r="T52" i="37" s="1"/>
  <c r="T50" i="37"/>
  <c r="H48" i="37"/>
  <c r="H49" i="37" s="1"/>
  <c r="H47" i="37"/>
  <c r="D23" i="39"/>
  <c r="D7" i="39"/>
  <c r="D27" i="39"/>
  <c r="D31" i="39"/>
  <c r="D30" i="39"/>
  <c r="D14" i="39"/>
  <c r="D19" i="39"/>
  <c r="D10" i="39"/>
  <c r="D11" i="39"/>
  <c r="D18" i="39"/>
  <c r="D32" i="39"/>
  <c r="D21" i="39"/>
  <c r="D24" i="39"/>
  <c r="D13" i="39"/>
  <c r="D4" i="39"/>
  <c r="D20" i="39"/>
  <c r="D8" i="39"/>
  <c r="D22" i="39"/>
  <c r="D12" i="39"/>
  <c r="D26" i="39"/>
  <c r="D3" i="39"/>
  <c r="D25" i="39"/>
  <c r="D28" i="39"/>
  <c r="D29" i="39"/>
  <c r="D5" i="39"/>
  <c r="D15" i="39"/>
  <c r="D6" i="39"/>
  <c r="D16" i="39"/>
  <c r="D17" i="39"/>
  <c r="D9" i="39"/>
  <c r="F48" i="37"/>
  <c r="F49" i="37" s="1"/>
  <c r="F47" i="37"/>
  <c r="Z50" i="37"/>
  <c r="Z51" i="37"/>
  <c r="Z52" i="37" s="1"/>
  <c r="AE48" i="37"/>
  <c r="AE49" i="37" s="1"/>
  <c r="AE47" i="37"/>
  <c r="F50" i="37"/>
  <c r="F51" i="37"/>
  <c r="F52" i="37" s="1"/>
  <c r="B51" i="37"/>
  <c r="B52" i="37" s="1"/>
  <c r="B50" i="37"/>
  <c r="X51" i="37"/>
  <c r="X52" i="37" s="1"/>
  <c r="X50" i="37"/>
  <c r="I51" i="37"/>
  <c r="I52" i="37" s="1"/>
  <c r="I50" i="37"/>
  <c r="X48" i="37"/>
  <c r="X49" i="37" s="1"/>
  <c r="X47" i="37"/>
  <c r="E50" i="37"/>
  <c r="E51" i="37"/>
  <c r="E52" i="37" s="1"/>
  <c r="C50" i="37"/>
  <c r="C3" i="39" a="1"/>
  <c r="C51" i="37"/>
  <c r="C52" i="37" s="1"/>
  <c r="P50" i="37"/>
  <c r="P51" i="37"/>
  <c r="P52" i="37" s="1"/>
  <c r="V51" i="37"/>
  <c r="V52" i="37" s="1"/>
  <c r="V50" i="37"/>
  <c r="AE50" i="37"/>
  <c r="AE51" i="37"/>
  <c r="AE52" i="37" s="1"/>
  <c r="B48" i="37"/>
  <c r="B49" i="37" s="1"/>
  <c r="B47" i="37"/>
  <c r="S51" i="37"/>
  <c r="S52" i="37" s="1"/>
  <c r="S50" i="37"/>
  <c r="K51" i="37"/>
  <c r="K52" i="37" s="1"/>
  <c r="K50" i="37"/>
  <c r="K2" i="37" s="1"/>
  <c r="J48" i="37"/>
  <c r="J49" i="37" s="1"/>
  <c r="J47" i="37"/>
  <c r="J2" i="37" s="1"/>
  <c r="N50" i="37"/>
  <c r="N51" i="37"/>
  <c r="N52" i="37" s="1"/>
  <c r="AB51" i="37"/>
  <c r="AB52" i="37" s="1"/>
  <c r="AB50" i="37"/>
  <c r="G50" i="37"/>
  <c r="G51" i="37"/>
  <c r="G52" i="37" s="1"/>
  <c r="I47" i="37"/>
  <c r="I48" i="37"/>
  <c r="I49" i="37" s="1"/>
  <c r="D48" i="37"/>
  <c r="D49" i="37" s="1"/>
  <c r="D47" i="37"/>
  <c r="W50" i="37"/>
  <c r="W51" i="37"/>
  <c r="W52" i="37" s="1"/>
  <c r="W48" i="37"/>
  <c r="W49" i="37" s="1"/>
  <c r="W47" i="37"/>
  <c r="AC50" i="37"/>
  <c r="AC51" i="37"/>
  <c r="AC52" i="37" s="1"/>
  <c r="R51" i="37"/>
  <c r="R52" i="37" s="1"/>
  <c r="R50" i="37"/>
  <c r="H51" i="37"/>
  <c r="H52" i="37" s="1"/>
  <c r="H50" i="37"/>
  <c r="P48" i="37"/>
  <c r="P49" i="37" s="1"/>
  <c r="P47" i="37"/>
  <c r="S48" i="37"/>
  <c r="S49" i="37" s="1"/>
  <c r="S47" i="37"/>
  <c r="L51" i="37"/>
  <c r="L52" i="37" s="1"/>
  <c r="L50" i="37"/>
  <c r="L48" i="37"/>
  <c r="L49" i="37" s="1"/>
  <c r="L47" i="37"/>
  <c r="D51" i="37"/>
  <c r="D52" i="37" s="1"/>
  <c r="D50" i="37"/>
  <c r="G48" i="37"/>
  <c r="G49" i="37" s="1"/>
  <c r="G47" i="37"/>
  <c r="AF51" i="37"/>
  <c r="AF52" i="37" s="1"/>
  <c r="AF50" i="37"/>
  <c r="AF48" i="37"/>
  <c r="AF49" i="37" s="1"/>
  <c r="AF47" i="37"/>
  <c r="N47" i="37"/>
  <c r="N48" i="37"/>
  <c r="N49" i="37" s="1"/>
  <c r="AC48" i="37"/>
  <c r="AC49" i="37" s="1"/>
  <c r="AC47" i="37"/>
  <c r="Q47" i="37"/>
  <c r="Q2" i="37" s="1"/>
  <c r="Q48" i="37"/>
  <c r="Q49" i="37" s="1"/>
  <c r="C47" i="37"/>
  <c r="C48" i="37"/>
  <c r="C49" i="37" s="1"/>
  <c r="B3" i="39" a="1"/>
  <c r="Z48" i="37"/>
  <c r="Z49" i="37" s="1"/>
  <c r="Z47" i="37"/>
  <c r="Y47" i="37"/>
  <c r="Y2" i="37" s="1"/>
  <c r="Y48" i="37"/>
  <c r="Y49" i="37" s="1"/>
  <c r="O47" i="37"/>
  <c r="O48" i="37"/>
  <c r="O49" i="37" s="1"/>
  <c r="R47" i="37"/>
  <c r="R48" i="37"/>
  <c r="R49" i="37" s="1"/>
  <c r="AA51" i="37"/>
  <c r="AA52" i="37" s="1"/>
  <c r="AA50" i="37"/>
  <c r="AD48" i="37"/>
  <c r="AD49" i="37" s="1"/>
  <c r="AD3" i="37" s="1"/>
  <c r="AD47" i="37"/>
  <c r="I3" i="30"/>
  <c r="N33" i="30"/>
  <c r="N34" i="30"/>
  <c r="L3" i="30"/>
  <c r="K59" i="30"/>
  <c r="K51" i="30"/>
  <c r="J44" i="30"/>
  <c r="J36" i="30"/>
  <c r="K50" i="30"/>
  <c r="J43" i="30"/>
  <c r="J35" i="30"/>
  <c r="K58" i="30"/>
  <c r="K57" i="30"/>
  <c r="K56" i="30"/>
  <c r="K63" i="30"/>
  <c r="K62" i="30"/>
  <c r="K61" i="30"/>
  <c r="K53" i="30"/>
  <c r="J46" i="30"/>
  <c r="J38" i="30"/>
  <c r="K60" i="30"/>
  <c r="K52" i="30"/>
  <c r="J45" i="30"/>
  <c r="J37" i="30"/>
  <c r="K49" i="30"/>
  <c r="J42" i="30"/>
  <c r="J34" i="30"/>
  <c r="K48" i="30"/>
  <c r="J41" i="30"/>
  <c r="K55" i="30"/>
  <c r="J48" i="30"/>
  <c r="J40" i="30"/>
  <c r="K54" i="30"/>
  <c r="J47" i="30"/>
  <c r="J39" i="30"/>
  <c r="R34" i="30"/>
  <c r="R42" i="30"/>
  <c r="R50" i="30"/>
  <c r="U46" i="30"/>
  <c r="R35" i="30"/>
  <c r="R43" i="30"/>
  <c r="R51" i="30"/>
  <c r="U47" i="30"/>
  <c r="R37" i="30"/>
  <c r="R45" i="30"/>
  <c r="R53" i="30"/>
  <c r="U51" i="30"/>
  <c r="R36" i="30"/>
  <c r="R44" i="30"/>
  <c r="R52" i="30"/>
  <c r="U50" i="30"/>
  <c r="Q33" i="30"/>
  <c r="R38" i="30"/>
  <c r="R46" i="30"/>
  <c r="U48" i="30"/>
  <c r="U52" i="30"/>
  <c r="R40" i="30"/>
  <c r="R48" i="30"/>
  <c r="R33" i="30"/>
  <c r="R41" i="30"/>
  <c r="R49" i="30"/>
  <c r="U45" i="30"/>
  <c r="Q34" i="30"/>
  <c r="R39" i="30"/>
  <c r="R47" i="30"/>
  <c r="U49" i="30"/>
  <c r="U53" i="30"/>
  <c r="O21" i="30" a="1"/>
  <c r="O21" i="30" s="1"/>
  <c r="AE16" i="31"/>
  <c r="AD16" i="31"/>
  <c r="AC16" i="31"/>
  <c r="AB16" i="31"/>
  <c r="AA16" i="31"/>
  <c r="Z16" i="31"/>
  <c r="Y16" i="31"/>
  <c r="X16" i="31"/>
  <c r="W16" i="31"/>
  <c r="V16" i="31"/>
  <c r="U16" i="31"/>
  <c r="B31" i="31"/>
  <c r="B30" i="31"/>
  <c r="C30" i="31" s="1"/>
  <c r="Y3" i="37" l="1"/>
  <c r="J3" i="37"/>
  <c r="Z2" i="37"/>
  <c r="B2" i="37"/>
  <c r="Z3" i="37"/>
  <c r="O3" i="37"/>
  <c r="O2" i="37"/>
  <c r="AC2" i="37"/>
  <c r="S2" i="37"/>
  <c r="Q3" i="37"/>
  <c r="X2" i="37"/>
  <c r="U2" i="37"/>
  <c r="AD2" i="37"/>
  <c r="W3" i="37"/>
  <c r="F3" i="37"/>
  <c r="D2" i="37"/>
  <c r="B3" i="37"/>
  <c r="G2" i="37"/>
  <c r="E3" i="37"/>
  <c r="U3" i="37"/>
  <c r="I2" i="37"/>
  <c r="AE2" i="37"/>
  <c r="AC3" i="37"/>
  <c r="I3" i="37"/>
  <c r="C3" i="37"/>
  <c r="C2" i="37"/>
  <c r="AF3" i="37"/>
  <c r="L3" i="37"/>
  <c r="X3" i="37"/>
  <c r="D3" i="37"/>
  <c r="AE3" i="37"/>
  <c r="N3" i="37"/>
  <c r="P2" i="37"/>
  <c r="AF2" i="37"/>
  <c r="L2" i="37"/>
  <c r="P3" i="37"/>
  <c r="AA2" i="37"/>
  <c r="AA3" i="37"/>
  <c r="R2" i="37"/>
  <c r="M2" i="37"/>
  <c r="AB2" i="37"/>
  <c r="M3" i="37"/>
  <c r="AB3" i="37"/>
  <c r="C18" i="39"/>
  <c r="C21" i="39"/>
  <c r="C4" i="39"/>
  <c r="C29" i="39"/>
  <c r="C25" i="39"/>
  <c r="C32" i="39"/>
  <c r="C11" i="39"/>
  <c r="C8" i="39"/>
  <c r="C5" i="39"/>
  <c r="C12" i="39"/>
  <c r="C6" i="39"/>
  <c r="C26" i="39"/>
  <c r="C31" i="39"/>
  <c r="C24" i="39"/>
  <c r="C23" i="39"/>
  <c r="C17" i="39"/>
  <c r="C15" i="39"/>
  <c r="C14" i="39"/>
  <c r="C27" i="39"/>
  <c r="C3" i="39"/>
  <c r="C13" i="39"/>
  <c r="C30" i="39"/>
  <c r="C10" i="39"/>
  <c r="C19" i="39"/>
  <c r="C7" i="39"/>
  <c r="C28" i="39"/>
  <c r="C16" i="39"/>
  <c r="C9" i="39"/>
  <c r="C22" i="39"/>
  <c r="C20" i="39"/>
  <c r="V2" i="37"/>
  <c r="T2" i="37"/>
  <c r="S3" i="37"/>
  <c r="V3" i="37"/>
  <c r="T3" i="37"/>
  <c r="R3" i="37"/>
  <c r="W2" i="37"/>
  <c r="G3" i="37"/>
  <c r="F2" i="37"/>
  <c r="H2" i="37"/>
  <c r="E2" i="37"/>
  <c r="K3" i="37"/>
  <c r="B15" i="39"/>
  <c r="B26" i="39"/>
  <c r="B27" i="39"/>
  <c r="B11" i="39"/>
  <c r="B8" i="39"/>
  <c r="B3" i="39"/>
  <c r="B22" i="39"/>
  <c r="B14" i="39"/>
  <c r="B21" i="39"/>
  <c r="B28" i="39"/>
  <c r="B7" i="39"/>
  <c r="B5" i="39"/>
  <c r="B23" i="39"/>
  <c r="B10" i="39"/>
  <c r="B9" i="39"/>
  <c r="B19" i="39"/>
  <c r="B16" i="39"/>
  <c r="B24" i="39"/>
  <c r="B29" i="39"/>
  <c r="B17" i="39"/>
  <c r="B13" i="39"/>
  <c r="B4" i="39"/>
  <c r="B6" i="39"/>
  <c r="B12" i="39"/>
  <c r="B30" i="39"/>
  <c r="B31" i="39"/>
  <c r="B18" i="39"/>
  <c r="B20" i="39"/>
  <c r="B25" i="39"/>
  <c r="B32" i="39"/>
  <c r="N2" i="37"/>
  <c r="H3" i="37"/>
  <c r="F43" i="30"/>
  <c r="F42" i="30"/>
  <c r="F41" i="30"/>
  <c r="F40" i="30"/>
  <c r="F39" i="30"/>
  <c r="F38" i="30"/>
  <c r="F37" i="30"/>
  <c r="F36" i="30"/>
  <c r="F35" i="30"/>
  <c r="F34" i="30"/>
  <c r="B4" i="30"/>
  <c r="B5" i="30" s="1"/>
  <c r="B6" i="30" s="1"/>
  <c r="B7" i="30" s="1"/>
  <c r="B8" i="30" s="1"/>
  <c r="B9" i="30" s="1"/>
  <c r="B10" i="30" s="1"/>
  <c r="B11" i="30" s="1"/>
  <c r="B12" i="30" s="1"/>
  <c r="B13" i="30" s="1"/>
  <c r="B14" i="30" s="1"/>
  <c r="B15" i="30" s="1"/>
  <c r="B16" i="30" s="1"/>
  <c r="B17" i="30" s="1"/>
  <c r="B18" i="30" s="1"/>
  <c r="B19" i="30" s="1"/>
  <c r="B20" i="30" s="1"/>
  <c r="B21" i="30" s="1"/>
  <c r="B22" i="30" s="1"/>
  <c r="B23" i="30" s="1"/>
  <c r="B24" i="30" s="1"/>
  <c r="B25" i="30" s="1"/>
  <c r="B26" i="30" s="1"/>
  <c r="B27" i="30" s="1"/>
  <c r="B28" i="30" s="1"/>
  <c r="B29" i="30" s="1"/>
  <c r="B30" i="30" s="1"/>
  <c r="B31" i="30" s="1"/>
  <c r="B32" i="30" s="1"/>
  <c r="B33" i="30" s="1"/>
  <c r="B34" i="30" s="1"/>
  <c r="B35" i="30" s="1"/>
  <c r="B36" i="30" s="1"/>
  <c r="B37" i="30" s="1"/>
  <c r="B38" i="30" s="1"/>
  <c r="B39" i="30" s="1"/>
  <c r="B40" i="30" s="1"/>
  <c r="B41" i="30" s="1"/>
  <c r="B42" i="30" s="1"/>
  <c r="B43" i="30" s="1"/>
  <c r="B44" i="30" s="1"/>
  <c r="B45" i="30" s="1"/>
  <c r="B46" i="30" s="1"/>
  <c r="B47" i="30" s="1"/>
  <c r="B48" i="30" s="1"/>
  <c r="B49" i="30" s="1"/>
  <c r="B50" i="30" s="1"/>
  <c r="B51" i="30" s="1"/>
  <c r="B52" i="30" s="1"/>
  <c r="B53" i="30" s="1"/>
  <c r="B54" i="30" s="1"/>
  <c r="B55" i="30" s="1"/>
  <c r="B56" i="30" s="1"/>
  <c r="B57" i="30" s="1"/>
  <c r="B58" i="30" s="1"/>
  <c r="B59" i="30" s="1"/>
  <c r="B60" i="30" s="1"/>
  <c r="B61" i="30" s="1"/>
  <c r="B62" i="30" s="1"/>
  <c r="B63" i="30" s="1"/>
  <c r="T43" i="30" l="1"/>
  <c r="T44" i="30" s="1"/>
  <c r="T45" i="30" s="1"/>
  <c r="T46" i="30" s="1"/>
  <c r="T47" i="30" s="1"/>
  <c r="T48" i="30" s="1"/>
  <c r="T49" i="30" s="1"/>
  <c r="T50" i="30" s="1"/>
  <c r="T51" i="30" s="1"/>
  <c r="T52" i="30" s="1"/>
  <c r="T53" i="30" s="1"/>
  <c r="T54" i="30" s="1"/>
  <c r="T55" i="30" s="1"/>
  <c r="T56" i="30" s="1"/>
  <c r="T57" i="30" s="1"/>
  <c r="T58" i="30" s="1"/>
  <c r="T59" i="30" s="1"/>
  <c r="T60" i="30" s="1"/>
  <c r="T61" i="30" s="1"/>
  <c r="T62" i="30" s="1"/>
  <c r="S43" i="30"/>
  <c r="S44" i="30" s="1"/>
  <c r="S45" i="30" s="1"/>
  <c r="S46" i="30" s="1"/>
  <c r="S47" i="30" s="1"/>
  <c r="S48" i="30" s="1"/>
  <c r="S49" i="30" s="1"/>
  <c r="S50" i="30" s="1"/>
  <c r="S51" i="30" s="1"/>
  <c r="S52" i="30" s="1"/>
  <c r="S53" i="30" s="1"/>
  <c r="S54" i="30" s="1"/>
  <c r="S55" i="30" s="1"/>
  <c r="S56" i="30" s="1"/>
  <c r="S57" i="30" s="1"/>
  <c r="S58" i="30" s="1"/>
  <c r="S59" i="30" s="1"/>
  <c r="S60" i="30" s="1"/>
  <c r="S61" i="30" s="1"/>
  <c r="S62" i="30" s="1"/>
  <c r="H24" i="25" l="1"/>
  <c r="H16" i="25"/>
  <c r="H8" i="25"/>
  <c r="AH31" i="25"/>
  <c r="AH30" i="25"/>
  <c r="AH29" i="25"/>
  <c r="AH28" i="25"/>
  <c r="AH27" i="25"/>
  <c r="AH26" i="25"/>
  <c r="AH25" i="25"/>
  <c r="AH24" i="25"/>
  <c r="AH23" i="25"/>
  <c r="AH22" i="25"/>
  <c r="AH21" i="25"/>
  <c r="AH20" i="25"/>
  <c r="AH19" i="25"/>
  <c r="AH18" i="25"/>
  <c r="AH17" i="25"/>
  <c r="AH16" i="25"/>
  <c r="AH15" i="25"/>
  <c r="AH14" i="25"/>
  <c r="AH13" i="25"/>
  <c r="AH12" i="25"/>
  <c r="AH11" i="25"/>
  <c r="AH10" i="25"/>
  <c r="AH9" i="25"/>
  <c r="AH8" i="25"/>
  <c r="AH7" i="25"/>
  <c r="AH6" i="25"/>
  <c r="AH5" i="25"/>
  <c r="AH4" i="25"/>
  <c r="AH3" i="25"/>
  <c r="AH2" i="25"/>
  <c r="D25" i="25"/>
  <c r="V31" i="25"/>
  <c r="V30" i="25"/>
  <c r="V29" i="25"/>
  <c r="V28" i="25"/>
  <c r="V27" i="25"/>
  <c r="V26" i="25"/>
  <c r="V25" i="25"/>
  <c r="V24" i="25"/>
  <c r="V23" i="25"/>
  <c r="V22" i="25"/>
  <c r="V21" i="25"/>
  <c r="V20" i="25"/>
  <c r="V19" i="25"/>
  <c r="V18" i="25"/>
  <c r="V17" i="25"/>
  <c r="V16" i="25"/>
  <c r="V15" i="25"/>
  <c r="V14" i="25"/>
  <c r="V13" i="25"/>
  <c r="V12" i="25"/>
  <c r="V11" i="25"/>
  <c r="V10" i="25"/>
  <c r="V9" i="25"/>
  <c r="V8" i="25"/>
  <c r="V7" i="25"/>
  <c r="V6" i="25"/>
  <c r="V5" i="25"/>
  <c r="V4" i="25"/>
  <c r="V3" i="25"/>
  <c r="V2" i="25"/>
  <c r="Q31" i="25"/>
  <c r="Q30" i="25"/>
  <c r="Q29" i="25"/>
  <c r="Q28" i="25"/>
  <c r="Q27" i="25"/>
  <c r="Q26" i="25"/>
  <c r="Q25" i="25"/>
  <c r="Q24" i="25"/>
  <c r="Q23" i="25"/>
  <c r="Q22" i="25"/>
  <c r="Q21" i="25"/>
  <c r="Q20" i="25"/>
  <c r="Q19" i="25"/>
  <c r="Q18" i="25"/>
  <c r="Q17" i="25"/>
  <c r="Q16" i="25"/>
  <c r="Q15" i="25"/>
  <c r="Q14" i="25"/>
  <c r="Q13" i="25"/>
  <c r="Q12" i="25"/>
  <c r="Q11" i="25"/>
  <c r="Q10" i="25"/>
  <c r="Q9" i="25"/>
  <c r="Q8" i="25"/>
  <c r="Q7" i="25"/>
  <c r="Q6" i="25"/>
  <c r="Q5" i="25"/>
  <c r="Q4" i="25"/>
  <c r="Q3" i="25"/>
  <c r="Q2" i="25"/>
  <c r="D24" i="25"/>
  <c r="D23" i="25"/>
  <c r="M31" i="25"/>
  <c r="H31" i="25" s="1"/>
  <c r="M30" i="25"/>
  <c r="H30" i="25" s="1"/>
  <c r="M29" i="25"/>
  <c r="H29" i="25" s="1"/>
  <c r="M28" i="25"/>
  <c r="H28" i="25" s="1"/>
  <c r="M27" i="25"/>
  <c r="H27" i="25" s="1"/>
  <c r="M26" i="25"/>
  <c r="H26" i="25" s="1"/>
  <c r="M25" i="25"/>
  <c r="H25" i="25" s="1"/>
  <c r="M24" i="25"/>
  <c r="M23" i="25"/>
  <c r="H23" i="25" s="1"/>
  <c r="M22" i="25"/>
  <c r="H22" i="25" s="1"/>
  <c r="M21" i="25"/>
  <c r="H21" i="25" s="1"/>
  <c r="M20" i="25"/>
  <c r="H20" i="25" s="1"/>
  <c r="M19" i="25"/>
  <c r="H19" i="25" s="1"/>
  <c r="M18" i="25"/>
  <c r="H18" i="25" s="1"/>
  <c r="M17" i="25"/>
  <c r="H17" i="25" s="1"/>
  <c r="M16" i="25"/>
  <c r="M15" i="25"/>
  <c r="H15" i="25" s="1"/>
  <c r="M14" i="25"/>
  <c r="H14" i="25" s="1"/>
  <c r="M13" i="25"/>
  <c r="H13" i="25" s="1"/>
  <c r="M12" i="25"/>
  <c r="H12" i="25" s="1"/>
  <c r="M11" i="25"/>
  <c r="H11" i="25" s="1"/>
  <c r="M10" i="25"/>
  <c r="H10" i="25" s="1"/>
  <c r="M9" i="25"/>
  <c r="H9" i="25" s="1"/>
  <c r="M8" i="25"/>
  <c r="M7" i="25"/>
  <c r="H7" i="25" s="1"/>
  <c r="M6" i="25"/>
  <c r="H6" i="25" s="1"/>
  <c r="M5" i="25"/>
  <c r="H5" i="25" s="1"/>
  <c r="M4" i="25"/>
  <c r="H4" i="25" s="1"/>
  <c r="M3" i="25"/>
  <c r="H3" i="25" s="1"/>
  <c r="M2" i="25"/>
  <c r="AK31" i="2" l="1"/>
  <c r="AH31" i="2"/>
  <c r="AH30" i="2"/>
  <c r="AH29" i="2"/>
  <c r="AH28" i="2"/>
  <c r="AH27" i="2"/>
  <c r="AH26" i="2"/>
  <c r="AH25" i="2"/>
  <c r="AH24" i="2"/>
  <c r="AH23" i="2"/>
  <c r="AH22" i="2"/>
  <c r="AH21" i="2"/>
  <c r="AH20" i="2"/>
  <c r="AH19" i="2"/>
  <c r="AH18" i="2"/>
  <c r="AH17" i="2"/>
  <c r="AH16" i="2"/>
  <c r="AH15" i="2"/>
  <c r="AH14" i="2"/>
  <c r="AH13" i="2"/>
  <c r="AH12" i="2"/>
  <c r="AH11" i="2"/>
  <c r="AH10" i="2"/>
  <c r="AH9" i="2"/>
  <c r="AH8" i="2"/>
  <c r="AH7" i="2"/>
  <c r="AH6" i="2"/>
  <c r="AH5" i="2"/>
  <c r="AH4" i="2"/>
  <c r="AH3" i="2"/>
  <c r="AH2" i="2"/>
  <c r="AD31" i="2"/>
  <c r="AD30" i="2"/>
  <c r="AD29" i="2"/>
  <c r="AD28" i="2"/>
  <c r="AD27" i="2"/>
  <c r="AD26" i="2"/>
  <c r="AD25" i="2"/>
  <c r="AD24" i="2"/>
  <c r="AD23" i="2"/>
  <c r="AD22" i="2"/>
  <c r="AD21" i="2"/>
  <c r="AD20" i="2"/>
  <c r="AD19" i="2"/>
  <c r="AD18" i="2"/>
  <c r="AD17" i="2"/>
  <c r="AD16" i="2"/>
  <c r="AD15" i="2"/>
  <c r="AD14" i="2"/>
  <c r="AD13" i="2"/>
  <c r="AD12" i="2"/>
  <c r="AD11" i="2"/>
  <c r="AD10" i="2"/>
  <c r="AD9" i="2"/>
  <c r="AD8" i="2"/>
  <c r="AD7" i="2"/>
  <c r="AD6" i="2"/>
  <c r="AD5" i="2"/>
  <c r="AD4" i="2"/>
  <c r="AD3" i="2"/>
  <c r="AD2" i="2"/>
  <c r="Z31" i="2"/>
  <c r="Z30" i="2"/>
  <c r="Z29" i="2"/>
  <c r="Z28" i="2"/>
  <c r="Z27" i="2"/>
  <c r="Z26" i="2"/>
  <c r="Z25" i="2"/>
  <c r="Z24" i="2"/>
  <c r="Z23" i="2"/>
  <c r="Z22" i="2"/>
  <c r="Z21" i="2"/>
  <c r="Z20" i="2"/>
  <c r="Z19" i="2"/>
  <c r="Z18" i="2"/>
  <c r="Z17" i="2"/>
  <c r="Z16" i="2"/>
  <c r="Z15" i="2"/>
  <c r="Z14" i="2"/>
  <c r="Z13" i="2"/>
  <c r="Z12" i="2"/>
  <c r="Z11" i="2"/>
  <c r="Z10" i="2"/>
  <c r="Z9" i="2"/>
  <c r="Z8" i="2"/>
  <c r="Z7" i="2"/>
  <c r="Z6" i="2"/>
  <c r="Z5" i="2"/>
  <c r="Z4" i="2"/>
  <c r="Z3" i="2"/>
  <c r="Z2" i="2"/>
  <c r="V31" i="2"/>
  <c r="V30" i="2"/>
  <c r="V29" i="2"/>
  <c r="V28" i="2"/>
  <c r="V27" i="2"/>
  <c r="V26" i="2"/>
  <c r="V25" i="2"/>
  <c r="V24" i="2"/>
  <c r="V23" i="2"/>
  <c r="V22" i="2"/>
  <c r="B36" i="5" s="1"/>
  <c r="V21" i="2"/>
  <c r="V20" i="2"/>
  <c r="V19" i="2"/>
  <c r="V18" i="2"/>
  <c r="V17" i="2"/>
  <c r="V16" i="2"/>
  <c r="V15" i="2"/>
  <c r="V14" i="2"/>
  <c r="V13" i="2"/>
  <c r="V12" i="2"/>
  <c r="V11" i="2"/>
  <c r="V10" i="2"/>
  <c r="V9" i="2"/>
  <c r="V8" i="2"/>
  <c r="V7" i="2"/>
  <c r="V6" i="2"/>
  <c r="V5" i="2"/>
  <c r="V4" i="2"/>
  <c r="V3" i="2"/>
  <c r="V2" i="2"/>
  <c r="Q31" i="2"/>
  <c r="Q30" i="2"/>
  <c r="Q29" i="2"/>
  <c r="Q28" i="2"/>
  <c r="Q27" i="2"/>
  <c r="Q26" i="2"/>
  <c r="Q25" i="2"/>
  <c r="Q24" i="2"/>
  <c r="Q23" i="2"/>
  <c r="Q22" i="2"/>
  <c r="Q21" i="2"/>
  <c r="Q20" i="2"/>
  <c r="Q19" i="2"/>
  <c r="Q18" i="2"/>
  <c r="Q17" i="2"/>
  <c r="Q16" i="2"/>
  <c r="Q15" i="2"/>
  <c r="Q14" i="2"/>
  <c r="Q13" i="2"/>
  <c r="Q12" i="2"/>
  <c r="Q11" i="2"/>
  <c r="Q10" i="2"/>
  <c r="Q9" i="2"/>
  <c r="Q8" i="2"/>
  <c r="Q7" i="2"/>
  <c r="Q6" i="2"/>
  <c r="Q5" i="2"/>
  <c r="Q4" i="2"/>
  <c r="Q3" i="2"/>
  <c r="Q2" i="2"/>
  <c r="M31" i="2"/>
  <c r="M30" i="2"/>
  <c r="M29" i="2"/>
  <c r="M28" i="2"/>
  <c r="M27" i="2"/>
  <c r="M26" i="2"/>
  <c r="M25" i="2"/>
  <c r="M24" i="2"/>
  <c r="M23" i="2"/>
  <c r="M22" i="2"/>
  <c r="M21" i="2"/>
  <c r="M20" i="2"/>
  <c r="M19" i="2"/>
  <c r="M18" i="2"/>
  <c r="M17" i="2"/>
  <c r="M16" i="2"/>
  <c r="M15" i="2"/>
  <c r="M14" i="2"/>
  <c r="M13" i="2"/>
  <c r="M12" i="2"/>
  <c r="M11" i="2"/>
  <c r="M10" i="2"/>
  <c r="M9" i="2"/>
  <c r="M8" i="2"/>
  <c r="M7" i="2"/>
  <c r="M6" i="2"/>
  <c r="M5" i="2"/>
  <c r="M4" i="2"/>
  <c r="M3" i="2"/>
  <c r="M2" i="2"/>
  <c r="H31" i="2"/>
  <c r="M32" i="30" s="1"/>
  <c r="H30" i="2"/>
  <c r="M31" i="30" s="1"/>
  <c r="P31" i="30" s="1"/>
  <c r="H29" i="2"/>
  <c r="M30" i="30" s="1"/>
  <c r="P30" i="30" s="1"/>
  <c r="H28" i="2"/>
  <c r="M29" i="30" s="1"/>
  <c r="P29" i="30" s="1"/>
  <c r="H27" i="2"/>
  <c r="M28" i="30" s="1"/>
  <c r="P28" i="30" s="1"/>
  <c r="H26" i="2"/>
  <c r="M27" i="30" s="1"/>
  <c r="P27" i="30" s="1"/>
  <c r="H25" i="2"/>
  <c r="M26" i="30" s="1"/>
  <c r="P26" i="30" s="1"/>
  <c r="H24" i="2"/>
  <c r="M25" i="30" s="1"/>
  <c r="P25" i="30" s="1"/>
  <c r="H23" i="2"/>
  <c r="M24" i="30" s="1"/>
  <c r="P24" i="30" s="1"/>
  <c r="H22" i="2"/>
  <c r="M23" i="30" s="1"/>
  <c r="P23" i="30" s="1"/>
  <c r="H21" i="2"/>
  <c r="M22" i="30" s="1"/>
  <c r="P22" i="30" s="1"/>
  <c r="H20" i="2"/>
  <c r="M21" i="30" s="1"/>
  <c r="P21" i="30" s="1"/>
  <c r="H19" i="2"/>
  <c r="M20" i="30" s="1"/>
  <c r="H18" i="2"/>
  <c r="M19" i="30" s="1"/>
  <c r="H17" i="2"/>
  <c r="M18" i="30" s="1"/>
  <c r="H16" i="2"/>
  <c r="M17" i="30" s="1"/>
  <c r="H15" i="2"/>
  <c r="M16" i="30" s="1"/>
  <c r="H14" i="2"/>
  <c r="M15" i="30" s="1"/>
  <c r="H13" i="2"/>
  <c r="M14" i="30" s="1"/>
  <c r="H12" i="2"/>
  <c r="M13" i="30" s="1"/>
  <c r="H11" i="2"/>
  <c r="M12" i="30" s="1"/>
  <c r="H10" i="2"/>
  <c r="M11" i="30" s="1"/>
  <c r="H9" i="2"/>
  <c r="M10" i="30" s="1"/>
  <c r="H8" i="2"/>
  <c r="M9" i="30" s="1"/>
  <c r="H7" i="2"/>
  <c r="M8" i="30" s="1"/>
  <c r="H6" i="2"/>
  <c r="M7" i="30" s="1"/>
  <c r="H5" i="2"/>
  <c r="M6" i="30" s="1"/>
  <c r="H4" i="2"/>
  <c r="M5" i="30" s="1"/>
  <c r="H3" i="2"/>
  <c r="M4" i="30" s="1"/>
  <c r="H2" i="2"/>
  <c r="P32" i="30" l="1"/>
  <c r="Q32" i="30" s="1"/>
  <c r="R32" i="30" s="1"/>
  <c r="N32" i="30"/>
  <c r="F9" i="32"/>
  <c r="B57" i="5"/>
  <c r="D57" i="5"/>
  <c r="AG79" i="5" s="1"/>
  <c r="B67" i="5"/>
  <c r="D67" i="5"/>
  <c r="AG104" i="5" s="1"/>
  <c r="F10" i="32"/>
  <c r="D68" i="5"/>
  <c r="AG105" i="5" s="1"/>
  <c r="B68" i="5"/>
  <c r="D58" i="5"/>
  <c r="AG80" i="5" s="1"/>
  <c r="B58" i="5"/>
  <c r="D8" i="32"/>
  <c r="B42" i="5"/>
  <c r="C78" i="5" s="1"/>
  <c r="D18" i="32"/>
  <c r="M3" i="30"/>
  <c r="C23" i="30"/>
  <c r="D23" i="30" s="1"/>
  <c r="C22" i="30"/>
  <c r="C25" i="30"/>
  <c r="C24" i="30"/>
  <c r="D33" i="30"/>
  <c r="D17" i="32"/>
  <c r="F19" i="32"/>
  <c r="D10" i="32"/>
  <c r="B44" i="5"/>
  <c r="F18" i="32"/>
  <c r="D9" i="32"/>
  <c r="B43" i="5"/>
  <c r="F17" i="32"/>
  <c r="D19" i="32"/>
  <c r="D24" i="30" l="1"/>
  <c r="D25" i="30" s="1"/>
  <c r="D26" i="30" s="1"/>
  <c r="D27" i="30" s="1"/>
  <c r="D28" i="30" s="1"/>
  <c r="D29" i="30" s="1"/>
  <c r="D30" i="30" s="1"/>
  <c r="D31" i="30" s="1"/>
  <c r="D32" i="30" s="1"/>
  <c r="E27" i="32"/>
  <c r="E47" i="32"/>
  <c r="C104" i="5"/>
  <c r="E9" i="32"/>
  <c r="I47" i="32"/>
  <c r="I27" i="32"/>
  <c r="C106" i="5"/>
  <c r="E17" i="32"/>
  <c r="C81" i="5"/>
  <c r="M105" i="5"/>
  <c r="H10" i="32"/>
  <c r="J47" i="32"/>
  <c r="J27" i="32"/>
  <c r="C107" i="5"/>
  <c r="E18" i="32"/>
  <c r="C82" i="5"/>
  <c r="B60" i="5"/>
  <c r="D60" i="5"/>
  <c r="AG82" i="5" s="1"/>
  <c r="AG90" i="5" s="1"/>
  <c r="B70" i="5"/>
  <c r="D70" i="5"/>
  <c r="AG107" i="5" s="1"/>
  <c r="AG115" i="5" s="1"/>
  <c r="D27" i="32"/>
  <c r="D47" i="32"/>
  <c r="C103" i="5"/>
  <c r="C111" i="5" s="1"/>
  <c r="E8" i="32"/>
  <c r="M104" i="5"/>
  <c r="H9" i="32"/>
  <c r="K47" i="32"/>
  <c r="K27" i="32"/>
  <c r="C108" i="5"/>
  <c r="E19" i="32"/>
  <c r="C83" i="5"/>
  <c r="M80" i="5"/>
  <c r="G10" i="32"/>
  <c r="M79" i="5"/>
  <c r="G9" i="32"/>
  <c r="G27" i="32"/>
  <c r="G47" i="32"/>
  <c r="C105" i="5"/>
  <c r="E10" i="32"/>
  <c r="B69" i="5"/>
  <c r="D69" i="5"/>
  <c r="AG106" i="5" s="1"/>
  <c r="AG114" i="5" s="1"/>
  <c r="B59" i="5"/>
  <c r="D59" i="5"/>
  <c r="AG81" i="5" s="1"/>
  <c r="AG89" i="5" s="1"/>
  <c r="B71" i="5"/>
  <c r="D61" i="5"/>
  <c r="AG83" i="5" s="1"/>
  <c r="AG91" i="5" s="1"/>
  <c r="D71" i="5"/>
  <c r="AG108" i="5" s="1"/>
  <c r="AG116" i="5" s="1"/>
  <c r="B61" i="5"/>
  <c r="E27" i="30" l="1"/>
  <c r="C91" i="5"/>
  <c r="E32" i="30"/>
  <c r="C114" i="5"/>
  <c r="M108" i="5"/>
  <c r="H19" i="32"/>
  <c r="C71" i="5"/>
  <c r="E33" i="30"/>
  <c r="C116" i="5"/>
  <c r="C115" i="5"/>
  <c r="M81" i="5"/>
  <c r="G17" i="32"/>
  <c r="C59" i="5"/>
  <c r="E29" i="30"/>
  <c r="C90" i="5"/>
  <c r="E28" i="30"/>
  <c r="M107" i="5"/>
  <c r="H18" i="32"/>
  <c r="C70" i="5"/>
  <c r="E30" i="30"/>
  <c r="M106" i="5"/>
  <c r="H17" i="32"/>
  <c r="C69" i="5"/>
  <c r="M83" i="5"/>
  <c r="G19" i="32"/>
  <c r="C61" i="5"/>
  <c r="E31" i="30"/>
  <c r="M82" i="5"/>
  <c r="G18" i="32"/>
  <c r="C60" i="5"/>
  <c r="C89" i="5"/>
  <c r="M91" i="5" l="1"/>
  <c r="M89" i="5"/>
  <c r="M116" i="5"/>
  <c r="M115" i="5"/>
  <c r="M90" i="5"/>
  <c r="M114" i="5"/>
  <c r="AK30" i="2" l="1"/>
  <c r="AK29" i="2"/>
  <c r="AK28" i="2"/>
  <c r="AK27" i="2"/>
  <c r="AK26" i="2"/>
  <c r="AK25" i="2"/>
  <c r="AK24" i="2"/>
  <c r="AK23" i="2"/>
  <c r="AK22" i="2"/>
  <c r="AK21" i="2"/>
  <c r="AK20" i="2"/>
  <c r="AK19" i="2"/>
  <c r="AK18" i="2"/>
  <c r="AK17" i="2"/>
  <c r="AK16" i="2"/>
  <c r="AK15" i="2"/>
  <c r="AK14" i="2"/>
  <c r="AK13" i="2"/>
  <c r="AK12" i="2"/>
  <c r="AK11" i="2"/>
  <c r="AK10" i="2"/>
  <c r="AK9" i="2"/>
  <c r="AK8" i="2"/>
  <c r="AK7" i="2"/>
  <c r="AK6" i="2"/>
  <c r="AK5" i="2"/>
  <c r="AK4" i="2"/>
  <c r="AK3" i="2"/>
  <c r="AK2" i="2"/>
  <c r="B30" i="5" l="1"/>
  <c r="C30" i="5" s="1"/>
  <c r="D30" i="5" s="1"/>
  <c r="E30" i="5" s="1"/>
  <c r="F30" i="5" s="1"/>
  <c r="G30" i="5" s="1"/>
  <c r="H30" i="5" s="1"/>
  <c r="I30" i="5" s="1"/>
  <c r="J30" i="5" s="1"/>
  <c r="K30" i="5" s="1"/>
  <c r="C33" i="16" l="1"/>
  <c r="D33" i="16" s="1"/>
  <c r="E33" i="16" s="1"/>
  <c r="F33" i="16" s="1"/>
  <c r="G33" i="16" s="1"/>
  <c r="H33" i="16" s="1"/>
  <c r="I33" i="16" s="1"/>
  <c r="J33" i="16" s="1"/>
  <c r="B33" i="16"/>
  <c r="C80" i="5" l="1"/>
  <c r="C79" i="5" l="1"/>
  <c r="D77" i="5"/>
  <c r="E77" i="5"/>
  <c r="F77" i="5" s="1"/>
  <c r="G77" i="5" s="1"/>
  <c r="H77" i="5" s="1"/>
  <c r="I77" i="5" s="1"/>
  <c r="J77" i="5" s="1"/>
  <c r="K77" i="5" s="1"/>
  <c r="L77" i="5" s="1"/>
  <c r="M77" i="5" s="1"/>
  <c r="N77" i="5" l="1"/>
  <c r="O77" i="5" s="1"/>
  <c r="P77" i="5" s="1"/>
  <c r="Q77" i="5" s="1"/>
  <c r="R77" i="5" s="1"/>
  <c r="S77" i="5" s="1"/>
  <c r="T77" i="5" s="1"/>
  <c r="U77" i="5" s="1"/>
  <c r="V77" i="5" s="1"/>
  <c r="W77" i="5" s="1"/>
  <c r="X77" i="5" s="1"/>
  <c r="Y77" i="5" s="1"/>
  <c r="Z77" i="5" s="1"/>
  <c r="AA77" i="5" s="1"/>
  <c r="AB77" i="5" s="1"/>
  <c r="AC77" i="5" s="1"/>
  <c r="AD77" i="5" s="1"/>
  <c r="AE77" i="5" s="1"/>
  <c r="AF77" i="5" s="1"/>
  <c r="AG77" i="5" s="1"/>
  <c r="D104" i="5"/>
  <c r="D81" i="5"/>
  <c r="D83" i="5"/>
  <c r="D106" i="5"/>
  <c r="D108" i="5"/>
  <c r="D107" i="5"/>
  <c r="D82" i="5"/>
  <c r="F8" i="32"/>
  <c r="D66" i="5"/>
  <c r="AG103" i="5" s="1"/>
  <c r="AG111" i="5" s="1"/>
  <c r="B56" i="5"/>
  <c r="B66" i="5"/>
  <c r="D56" i="5"/>
  <c r="AG78" i="5" s="1"/>
  <c r="C12" i="2"/>
  <c r="E83" i="5" l="1"/>
  <c r="E82" i="5"/>
  <c r="D90" i="5"/>
  <c r="D91" i="5"/>
  <c r="D115" i="5"/>
  <c r="E107" i="5"/>
  <c r="D89" i="5"/>
  <c r="E81" i="5"/>
  <c r="D116" i="5"/>
  <c r="E108" i="5"/>
  <c r="D114" i="5"/>
  <c r="E106" i="5"/>
  <c r="E104" i="5"/>
  <c r="F104" i="5" s="1"/>
  <c r="G104" i="5" s="1"/>
  <c r="H104" i="5" s="1"/>
  <c r="I104" i="5" s="1"/>
  <c r="J104" i="5" s="1"/>
  <c r="K104" i="5" s="1"/>
  <c r="L104" i="5" s="1"/>
  <c r="L112" i="5" s="1"/>
  <c r="N104" i="5"/>
  <c r="O104" i="5" s="1"/>
  <c r="P104" i="5" s="1"/>
  <c r="Q104" i="5" s="1"/>
  <c r="R104" i="5" s="1"/>
  <c r="S104" i="5" s="1"/>
  <c r="T104" i="5" s="1"/>
  <c r="U104" i="5" s="1"/>
  <c r="V104" i="5" s="1"/>
  <c r="W104" i="5" s="1"/>
  <c r="X104" i="5" s="1"/>
  <c r="Y104" i="5" s="1"/>
  <c r="Z104" i="5" s="1"/>
  <c r="AA104" i="5" s="1"/>
  <c r="AB104" i="5" s="1"/>
  <c r="AC104" i="5" s="1"/>
  <c r="AD104" i="5" s="1"/>
  <c r="AE104" i="5" s="1"/>
  <c r="AF104" i="5" s="1"/>
  <c r="AF112" i="5" s="1"/>
  <c r="N107" i="5"/>
  <c r="N82" i="5"/>
  <c r="N108" i="5"/>
  <c r="N83" i="5"/>
  <c r="N106" i="5"/>
  <c r="N81" i="5"/>
  <c r="M103" i="5"/>
  <c r="H8" i="32"/>
  <c r="M78" i="5"/>
  <c r="M86" i="5" s="1"/>
  <c r="G8" i="32"/>
  <c r="C113" i="5"/>
  <c r="H47" i="32" s="1"/>
  <c r="D112" i="5"/>
  <c r="C112" i="5"/>
  <c r="F47" i="32" s="1"/>
  <c r="AG112" i="5"/>
  <c r="M112" i="5"/>
  <c r="AG113" i="5"/>
  <c r="C87" i="5"/>
  <c r="B31" i="5"/>
  <c r="C56" i="5"/>
  <c r="C86" i="5"/>
  <c r="C66" i="5"/>
  <c r="C88" i="5"/>
  <c r="G112" i="5" l="1"/>
  <c r="E48" i="32" a="1"/>
  <c r="E48" i="32" s="1"/>
  <c r="E58" i="32" s="1"/>
  <c r="H112" i="5"/>
  <c r="J112" i="5"/>
  <c r="F112" i="5"/>
  <c r="E112" i="5"/>
  <c r="U112" i="5"/>
  <c r="W112" i="5"/>
  <c r="Q112" i="5"/>
  <c r="S112" i="5"/>
  <c r="V112" i="5"/>
  <c r="AD112" i="5"/>
  <c r="P112" i="5"/>
  <c r="R112" i="5"/>
  <c r="T112" i="5"/>
  <c r="Y112" i="5"/>
  <c r="AE112" i="5"/>
  <c r="AA112" i="5"/>
  <c r="Z112" i="5"/>
  <c r="N112" i="5"/>
  <c r="AC112" i="5"/>
  <c r="X112" i="5"/>
  <c r="AB112" i="5"/>
  <c r="O112" i="5"/>
  <c r="I112" i="5"/>
  <c r="K112" i="5"/>
  <c r="O81" i="5"/>
  <c r="N89" i="5"/>
  <c r="C21" i="5"/>
  <c r="F81" i="5"/>
  <c r="E89" i="5"/>
  <c r="O106" i="5"/>
  <c r="N114" i="5"/>
  <c r="E115" i="5"/>
  <c r="F107" i="5"/>
  <c r="O83" i="5"/>
  <c r="N91" i="5"/>
  <c r="N116" i="5"/>
  <c r="O108" i="5"/>
  <c r="E114" i="5"/>
  <c r="F106" i="5"/>
  <c r="N90" i="5"/>
  <c r="O82" i="5"/>
  <c r="E91" i="5"/>
  <c r="F83" i="5"/>
  <c r="N115" i="5"/>
  <c r="O107" i="5"/>
  <c r="E116" i="5"/>
  <c r="F108" i="5"/>
  <c r="F82" i="5"/>
  <c r="E90" i="5"/>
  <c r="C93" i="5"/>
  <c r="C31" i="5"/>
  <c r="D31" i="5" s="1"/>
  <c r="D78" i="5"/>
  <c r="D86" i="5" s="1"/>
  <c r="F27" i="32"/>
  <c r="L27" i="32" s="1"/>
  <c r="H27" i="32"/>
  <c r="C118" i="5"/>
  <c r="AG118" i="5"/>
  <c r="D79" i="5"/>
  <c r="C57" i="5"/>
  <c r="N78" i="5"/>
  <c r="AG86" i="5"/>
  <c r="D80" i="5"/>
  <c r="C68" i="5"/>
  <c r="C67" i="5"/>
  <c r="F48" i="32" l="1" a="1"/>
  <c r="F48" i="32" s="1"/>
  <c r="F58" i="32" s="1"/>
  <c r="P106" i="5"/>
  <c r="O114" i="5"/>
  <c r="P108" i="5"/>
  <c r="O116" i="5"/>
  <c r="P82" i="5"/>
  <c r="O90" i="5"/>
  <c r="P83" i="5"/>
  <c r="O91" i="5"/>
  <c r="F89" i="5"/>
  <c r="G81" i="5"/>
  <c r="F91" i="5"/>
  <c r="G83" i="5"/>
  <c r="F90" i="5"/>
  <c r="G82" i="5"/>
  <c r="G107" i="5"/>
  <c r="F115" i="5"/>
  <c r="F116" i="5"/>
  <c r="G108" i="5"/>
  <c r="P107" i="5"/>
  <c r="O115" i="5"/>
  <c r="F114" i="5"/>
  <c r="G106" i="5"/>
  <c r="P81" i="5"/>
  <c r="O89" i="5"/>
  <c r="E78" i="5"/>
  <c r="E86" i="5" s="1"/>
  <c r="M27" i="32"/>
  <c r="L47" i="32"/>
  <c r="M47" i="32" s="1"/>
  <c r="E31" i="5"/>
  <c r="D87" i="5"/>
  <c r="M87" i="5"/>
  <c r="O78" i="5"/>
  <c r="N86" i="5"/>
  <c r="C58" i="5"/>
  <c r="AG87" i="5"/>
  <c r="N79" i="5"/>
  <c r="N87" i="5" s="1"/>
  <c r="M88" i="5"/>
  <c r="E79" i="5"/>
  <c r="H106" i="5" l="1"/>
  <c r="G114" i="5"/>
  <c r="G90" i="5"/>
  <c r="H82" i="5"/>
  <c r="P90" i="5"/>
  <c r="Q82" i="5"/>
  <c r="H83" i="5"/>
  <c r="G91" i="5"/>
  <c r="P116" i="5"/>
  <c r="Q108" i="5"/>
  <c r="G116" i="5"/>
  <c r="H108" i="5"/>
  <c r="G89" i="5"/>
  <c r="H81" i="5"/>
  <c r="P114" i="5"/>
  <c r="Q106" i="5"/>
  <c r="Q107" i="5"/>
  <c r="P115" i="5"/>
  <c r="Q81" i="5"/>
  <c r="P89" i="5"/>
  <c r="G115" i="5"/>
  <c r="H107" i="5"/>
  <c r="Q83" i="5"/>
  <c r="P91" i="5"/>
  <c r="F78" i="5"/>
  <c r="G78" i="5" s="1"/>
  <c r="H78" i="5" s="1"/>
  <c r="H86" i="5" s="1"/>
  <c r="M93" i="5"/>
  <c r="F31" i="5"/>
  <c r="P78" i="5"/>
  <c r="O86" i="5"/>
  <c r="AG88" i="5"/>
  <c r="AG93" i="5" s="1"/>
  <c r="N80" i="5"/>
  <c r="O80" i="5" s="1"/>
  <c r="O79" i="5"/>
  <c r="P79" i="5" s="1"/>
  <c r="F79" i="5"/>
  <c r="E87" i="5"/>
  <c r="E80" i="5"/>
  <c r="D88" i="5"/>
  <c r="D93" i="5" s="1"/>
  <c r="Q89" i="5" l="1"/>
  <c r="R81" i="5"/>
  <c r="Q90" i="5"/>
  <c r="R82" i="5"/>
  <c r="I82" i="5"/>
  <c r="H90" i="5"/>
  <c r="H115" i="5"/>
  <c r="I107" i="5"/>
  <c r="Q114" i="5"/>
  <c r="R106" i="5"/>
  <c r="R83" i="5"/>
  <c r="Q91" i="5"/>
  <c r="R107" i="5"/>
  <c r="Q115" i="5"/>
  <c r="Q116" i="5"/>
  <c r="R108" i="5"/>
  <c r="H114" i="5"/>
  <c r="I106" i="5"/>
  <c r="I83" i="5"/>
  <c r="H91" i="5"/>
  <c r="H116" i="5"/>
  <c r="I108" i="5"/>
  <c r="H89" i="5"/>
  <c r="I81" i="5"/>
  <c r="G86" i="5"/>
  <c r="I78" i="5"/>
  <c r="J78" i="5" s="1"/>
  <c r="F86" i="5"/>
  <c r="G31" i="5"/>
  <c r="Q78" i="5"/>
  <c r="P86" i="5"/>
  <c r="N88" i="5"/>
  <c r="N93" i="5" s="1"/>
  <c r="O87" i="5"/>
  <c r="P80" i="5"/>
  <c r="O88" i="5"/>
  <c r="F80" i="5"/>
  <c r="E88" i="5"/>
  <c r="E93" i="5" s="1"/>
  <c r="G79" i="5"/>
  <c r="F87" i="5"/>
  <c r="Q79" i="5"/>
  <c r="P87" i="5"/>
  <c r="J108" i="5" l="1"/>
  <c r="I116" i="5"/>
  <c r="R115" i="5"/>
  <c r="S107" i="5"/>
  <c r="S82" i="5"/>
  <c r="R90" i="5"/>
  <c r="I91" i="5"/>
  <c r="J83" i="5"/>
  <c r="I114" i="5"/>
  <c r="J106" i="5"/>
  <c r="R114" i="5"/>
  <c r="S106" i="5"/>
  <c r="R89" i="5"/>
  <c r="S81" i="5"/>
  <c r="J82" i="5"/>
  <c r="I90" i="5"/>
  <c r="S83" i="5"/>
  <c r="R91" i="5"/>
  <c r="I89" i="5"/>
  <c r="J81" i="5"/>
  <c r="R116" i="5"/>
  <c r="S108" i="5"/>
  <c r="I115" i="5"/>
  <c r="J107" i="5"/>
  <c r="I86" i="5"/>
  <c r="O93" i="5"/>
  <c r="H31" i="5"/>
  <c r="R78" i="5"/>
  <c r="Q86" i="5"/>
  <c r="J86" i="5"/>
  <c r="K78" i="5"/>
  <c r="R79" i="5"/>
  <c r="Q87" i="5"/>
  <c r="Q80" i="5"/>
  <c r="Q88" i="5" s="1"/>
  <c r="P88" i="5"/>
  <c r="P93" i="5" s="1"/>
  <c r="G80" i="5"/>
  <c r="F88" i="5"/>
  <c r="F93" i="5" s="1"/>
  <c r="H79" i="5"/>
  <c r="G87" i="5"/>
  <c r="K83" i="5" l="1"/>
  <c r="J91" i="5"/>
  <c r="T107" i="5"/>
  <c r="S115" i="5"/>
  <c r="T81" i="5"/>
  <c r="S89" i="5"/>
  <c r="J89" i="5"/>
  <c r="K81" i="5"/>
  <c r="S90" i="5"/>
  <c r="T82" i="5"/>
  <c r="K82" i="5"/>
  <c r="J90" i="5"/>
  <c r="S114" i="5"/>
  <c r="T106" i="5"/>
  <c r="S91" i="5"/>
  <c r="T83" i="5"/>
  <c r="J114" i="5"/>
  <c r="K106" i="5"/>
  <c r="S116" i="5"/>
  <c r="T108" i="5"/>
  <c r="J115" i="5"/>
  <c r="K107" i="5"/>
  <c r="J116" i="5"/>
  <c r="K108" i="5"/>
  <c r="Q93" i="5"/>
  <c r="I31" i="5"/>
  <c r="R86" i="5"/>
  <c r="S78" i="5"/>
  <c r="L78" i="5"/>
  <c r="B20" i="5" s="1"/>
  <c r="K86" i="5"/>
  <c r="R80" i="5"/>
  <c r="I79" i="5"/>
  <c r="H87" i="5"/>
  <c r="S79" i="5"/>
  <c r="R87" i="5"/>
  <c r="H80" i="5"/>
  <c r="G88" i="5"/>
  <c r="G93" i="5" s="1"/>
  <c r="L81" i="5" l="1"/>
  <c r="K89" i="5"/>
  <c r="U83" i="5"/>
  <c r="T91" i="5"/>
  <c r="U106" i="5"/>
  <c r="T114" i="5"/>
  <c r="T116" i="5"/>
  <c r="U108" i="5"/>
  <c r="T115" i="5"/>
  <c r="U107" i="5"/>
  <c r="L107" i="5"/>
  <c r="L115" i="5" s="1"/>
  <c r="K115" i="5"/>
  <c r="U81" i="5"/>
  <c r="T89" i="5"/>
  <c r="L106" i="5"/>
  <c r="L114" i="5" s="1"/>
  <c r="K114" i="5"/>
  <c r="U82" i="5"/>
  <c r="T90" i="5"/>
  <c r="K116" i="5"/>
  <c r="L108" i="5"/>
  <c r="L116" i="5" s="1"/>
  <c r="K90" i="5"/>
  <c r="L82" i="5"/>
  <c r="K91" i="5"/>
  <c r="L83" i="5"/>
  <c r="J31" i="5"/>
  <c r="A12" i="5" s="1"/>
  <c r="S86" i="5"/>
  <c r="T78" i="5"/>
  <c r="L86" i="5"/>
  <c r="D28" i="32" s="1" a="1"/>
  <c r="T79" i="5"/>
  <c r="S87" i="5"/>
  <c r="J79" i="5"/>
  <c r="I87" i="5"/>
  <c r="I80" i="5"/>
  <c r="H88" i="5"/>
  <c r="H93" i="5" s="1"/>
  <c r="S80" i="5"/>
  <c r="R88" i="5"/>
  <c r="R93" i="5" s="1"/>
  <c r="L90" i="5" l="1"/>
  <c r="J28" i="32" s="1" a="1"/>
  <c r="J28" i="32" s="1"/>
  <c r="J38" i="32" s="1"/>
  <c r="L89" i="5"/>
  <c r="I48" i="32" a="1"/>
  <c r="I48" i="32" s="1"/>
  <c r="I58" i="32" s="1"/>
  <c r="J48" i="32" a="1"/>
  <c r="J48" i="32" s="1"/>
  <c r="J58" i="32" s="1"/>
  <c r="K48" i="32" a="1"/>
  <c r="K48" i="32" s="1"/>
  <c r="K58" i="32" s="1"/>
  <c r="I28" i="32" a="1"/>
  <c r="I28" i="32" s="1"/>
  <c r="I38" i="32" s="1"/>
  <c r="V108" i="5"/>
  <c r="U116" i="5"/>
  <c r="U89" i="5"/>
  <c r="V81" i="5"/>
  <c r="V106" i="5"/>
  <c r="U114" i="5"/>
  <c r="V83" i="5"/>
  <c r="U91" i="5"/>
  <c r="V82" i="5"/>
  <c r="U90" i="5"/>
  <c r="U115" i="5"/>
  <c r="V107" i="5"/>
  <c r="B23" i="5"/>
  <c r="L91" i="5"/>
  <c r="K28" i="32" s="1" a="1"/>
  <c r="K28" i="32" s="1"/>
  <c r="K38" i="32" s="1"/>
  <c r="C23" i="5"/>
  <c r="D28" i="32"/>
  <c r="D34" i="32"/>
  <c r="D29" i="32"/>
  <c r="D33" i="32"/>
  <c r="D32" i="32"/>
  <c r="D31" i="32"/>
  <c r="D37" i="32"/>
  <c r="D36" i="32"/>
  <c r="D35" i="32"/>
  <c r="D30" i="32"/>
  <c r="U78" i="5"/>
  <c r="T86" i="5"/>
  <c r="J80" i="5"/>
  <c r="I88" i="5"/>
  <c r="I93" i="5" s="1"/>
  <c r="K79" i="5"/>
  <c r="J87" i="5"/>
  <c r="T80" i="5"/>
  <c r="S88" i="5"/>
  <c r="S93" i="5" s="1"/>
  <c r="U79" i="5"/>
  <c r="T87" i="5"/>
  <c r="W81" i="5" l="1"/>
  <c r="V89" i="5"/>
  <c r="V114" i="5"/>
  <c r="W106" i="5"/>
  <c r="V91" i="5"/>
  <c r="W83" i="5"/>
  <c r="W107" i="5"/>
  <c r="V115" i="5"/>
  <c r="W82" i="5"/>
  <c r="V90" i="5"/>
  <c r="V116" i="5"/>
  <c r="W108" i="5"/>
  <c r="C6" i="27"/>
  <c r="M20" i="27" s="1"/>
  <c r="D38" i="32"/>
  <c r="V78" i="5"/>
  <c r="U86" i="5"/>
  <c r="U80" i="5"/>
  <c r="T88" i="5"/>
  <c r="T93" i="5" s="1"/>
  <c r="L79" i="5"/>
  <c r="E28" i="32" s="1" a="1"/>
  <c r="E28" i="32" s="1"/>
  <c r="E38" i="32" s="1"/>
  <c r="K87" i="5"/>
  <c r="V79" i="5"/>
  <c r="U87" i="5"/>
  <c r="K80" i="5"/>
  <c r="J88" i="5"/>
  <c r="J93" i="5" s="1"/>
  <c r="W91" i="5" l="1"/>
  <c r="X83" i="5"/>
  <c r="W115" i="5"/>
  <c r="X107" i="5"/>
  <c r="X108" i="5"/>
  <c r="W116" i="5"/>
  <c r="X106" i="5"/>
  <c r="W114" i="5"/>
  <c r="X82" i="5"/>
  <c r="W90" i="5"/>
  <c r="X81" i="5"/>
  <c r="W89" i="5"/>
  <c r="L20" i="27"/>
  <c r="B21" i="5"/>
  <c r="V86" i="5"/>
  <c r="W78" i="5"/>
  <c r="L87" i="5"/>
  <c r="U88" i="5"/>
  <c r="U93" i="5" s="1"/>
  <c r="V80" i="5"/>
  <c r="L80" i="5"/>
  <c r="G28" i="32" s="1" a="1"/>
  <c r="G28" i="32" s="1"/>
  <c r="G38" i="32" s="1"/>
  <c r="K88" i="5"/>
  <c r="K93" i="5" s="1"/>
  <c r="W79" i="5"/>
  <c r="V87" i="5"/>
  <c r="Y106" i="5" l="1"/>
  <c r="X114" i="5"/>
  <c r="X116" i="5"/>
  <c r="Y108" i="5"/>
  <c r="X115" i="5"/>
  <c r="Y107" i="5"/>
  <c r="X89" i="5"/>
  <c r="Y81" i="5"/>
  <c r="Y83" i="5"/>
  <c r="X91" i="5"/>
  <c r="Y82" i="5"/>
  <c r="X90" i="5"/>
  <c r="F28" i="32" a="1"/>
  <c r="F28" i="32" s="1"/>
  <c r="F38" i="32" s="1"/>
  <c r="B22" i="5"/>
  <c r="X78" i="5"/>
  <c r="W86" i="5"/>
  <c r="L88" i="5"/>
  <c r="L93" i="5" s="1"/>
  <c r="A16" i="5" s="1"/>
  <c r="W80" i="5"/>
  <c r="V88" i="5"/>
  <c r="V93" i="5" s="1"/>
  <c r="X79" i="5"/>
  <c r="W87" i="5"/>
  <c r="Y91" i="5" l="1"/>
  <c r="Z83" i="5"/>
  <c r="Y89" i="5"/>
  <c r="Z81" i="5"/>
  <c r="Y114" i="5"/>
  <c r="Z106" i="5"/>
  <c r="Z107" i="5"/>
  <c r="Y115" i="5"/>
  <c r="Z108" i="5"/>
  <c r="Y116" i="5"/>
  <c r="Z82" i="5"/>
  <c r="Y90" i="5"/>
  <c r="H28" i="32" a="1"/>
  <c r="N105" i="5"/>
  <c r="D105" i="5"/>
  <c r="M113" i="5"/>
  <c r="N103" i="5"/>
  <c r="M111" i="5"/>
  <c r="D103" i="5"/>
  <c r="X86" i="5"/>
  <c r="Y78" i="5"/>
  <c r="Y79" i="5"/>
  <c r="X87" i="5"/>
  <c r="X80" i="5"/>
  <c r="W88" i="5"/>
  <c r="W93" i="5" s="1"/>
  <c r="Z89" i="5" l="1"/>
  <c r="AA81" i="5"/>
  <c r="Z115" i="5"/>
  <c r="AA107" i="5"/>
  <c r="AA82" i="5"/>
  <c r="Z90" i="5"/>
  <c r="Z114" i="5"/>
  <c r="AA106" i="5"/>
  <c r="AA83" i="5"/>
  <c r="Z91" i="5"/>
  <c r="AA108" i="5"/>
  <c r="Z116" i="5"/>
  <c r="H28" i="32"/>
  <c r="L35" i="32"/>
  <c r="M35" i="32" s="1"/>
  <c r="L37" i="32"/>
  <c r="M37" i="32" s="1"/>
  <c r="L34" i="32"/>
  <c r="M34" i="32" s="1"/>
  <c r="L33" i="32"/>
  <c r="M33" i="32" s="1"/>
  <c r="L31" i="32"/>
  <c r="M31" i="32" s="1"/>
  <c r="L29" i="32"/>
  <c r="M29" i="32" s="1"/>
  <c r="L30" i="32"/>
  <c r="M30" i="32" s="1"/>
  <c r="L36" i="32"/>
  <c r="M36" i="32" s="1"/>
  <c r="L32" i="32"/>
  <c r="M32" i="32" s="1"/>
  <c r="M118" i="5"/>
  <c r="D111" i="5"/>
  <c r="E103" i="5"/>
  <c r="N111" i="5"/>
  <c r="O103" i="5"/>
  <c r="E105" i="5"/>
  <c r="D113" i="5"/>
  <c r="O105" i="5"/>
  <c r="N113" i="5"/>
  <c r="Z78" i="5"/>
  <c r="Y86" i="5"/>
  <c r="Y80" i="5"/>
  <c r="X88" i="5"/>
  <c r="X93" i="5" s="1"/>
  <c r="Z79" i="5"/>
  <c r="Y87" i="5"/>
  <c r="AA114" i="5" l="1"/>
  <c r="AB106" i="5"/>
  <c r="AB107" i="5"/>
  <c r="AA115" i="5"/>
  <c r="AA116" i="5"/>
  <c r="AB108" i="5"/>
  <c r="AB81" i="5"/>
  <c r="AA89" i="5"/>
  <c r="AA90" i="5"/>
  <c r="AB82" i="5"/>
  <c r="AB83" i="5"/>
  <c r="AA91" i="5"/>
  <c r="L28" i="32"/>
  <c r="H38" i="32"/>
  <c r="N118" i="5"/>
  <c r="P105" i="5"/>
  <c r="O113" i="5"/>
  <c r="F105" i="5"/>
  <c r="E113" i="5"/>
  <c r="O111" i="5"/>
  <c r="P103" i="5"/>
  <c r="E111" i="5"/>
  <c r="F103" i="5"/>
  <c r="D118" i="5"/>
  <c r="AA78" i="5"/>
  <c r="Z86" i="5"/>
  <c r="AA79" i="5"/>
  <c r="Z87" i="5"/>
  <c r="Z80" i="5"/>
  <c r="Y88" i="5"/>
  <c r="Y93" i="5" s="1"/>
  <c r="AC81" i="5" l="1"/>
  <c r="AB89" i="5"/>
  <c r="AB91" i="5"/>
  <c r="AC83" i="5"/>
  <c r="AC82" i="5"/>
  <c r="AB90" i="5"/>
  <c r="AB114" i="5"/>
  <c r="AC106" i="5"/>
  <c r="AC108" i="5"/>
  <c r="AB116" i="5"/>
  <c r="AB115" i="5"/>
  <c r="AC107" i="5"/>
  <c r="M28" i="32"/>
  <c r="L38" i="32"/>
  <c r="O118" i="5"/>
  <c r="E118" i="5"/>
  <c r="F111" i="5"/>
  <c r="G103" i="5"/>
  <c r="P111" i="5"/>
  <c r="Q103" i="5"/>
  <c r="G105" i="5"/>
  <c r="F113" i="5"/>
  <c r="Q105" i="5"/>
  <c r="P113" i="5"/>
  <c r="AB78" i="5"/>
  <c r="AA86" i="5"/>
  <c r="AA80" i="5"/>
  <c r="Z88" i="5"/>
  <c r="Z93" i="5" s="1"/>
  <c r="AB79" i="5"/>
  <c r="AA87" i="5"/>
  <c r="AC114" i="5" l="1"/>
  <c r="AD106" i="5"/>
  <c r="AD82" i="5"/>
  <c r="AC90" i="5"/>
  <c r="AC91" i="5"/>
  <c r="AD83" i="5"/>
  <c r="AC115" i="5"/>
  <c r="AD107" i="5"/>
  <c r="AC116" i="5"/>
  <c r="AD108" i="5"/>
  <c r="AC89" i="5"/>
  <c r="AD81" i="5"/>
  <c r="H105" i="5"/>
  <c r="G113" i="5"/>
  <c r="G111" i="5"/>
  <c r="H103" i="5"/>
  <c r="R105" i="5"/>
  <c r="Q113" i="5"/>
  <c r="Q111" i="5"/>
  <c r="R103" i="5"/>
  <c r="P118" i="5"/>
  <c r="F118" i="5"/>
  <c r="AC78" i="5"/>
  <c r="AB86" i="5"/>
  <c r="AC79" i="5"/>
  <c r="AB87" i="5"/>
  <c r="AB80" i="5"/>
  <c r="AA88" i="5"/>
  <c r="AA93" i="5" s="1"/>
  <c r="AD91" i="5" l="1"/>
  <c r="AE83" i="5"/>
  <c r="AD115" i="5"/>
  <c r="AE107" i="5"/>
  <c r="AE81" i="5"/>
  <c r="AD89" i="5"/>
  <c r="AE106" i="5"/>
  <c r="AD114" i="5"/>
  <c r="AE82" i="5"/>
  <c r="AD90" i="5"/>
  <c r="AD116" i="5"/>
  <c r="AE108" i="5"/>
  <c r="G118" i="5"/>
  <c r="Q118" i="5"/>
  <c r="H111" i="5"/>
  <c r="I103" i="5"/>
  <c r="R111" i="5"/>
  <c r="S103" i="5"/>
  <c r="S105" i="5"/>
  <c r="R113" i="5"/>
  <c r="I105" i="5"/>
  <c r="H113" i="5"/>
  <c r="AD78" i="5"/>
  <c r="AC86" i="5"/>
  <c r="AC80" i="5"/>
  <c r="AB88" i="5"/>
  <c r="AB93" i="5" s="1"/>
  <c r="AD79" i="5"/>
  <c r="AC87" i="5"/>
  <c r="AF83" i="5" l="1"/>
  <c r="AF91" i="5" s="1"/>
  <c r="AE91" i="5"/>
  <c r="AF106" i="5"/>
  <c r="AF114" i="5" s="1"/>
  <c r="AE114" i="5"/>
  <c r="AF81" i="5"/>
  <c r="AF89" i="5" s="1"/>
  <c r="AE89" i="5"/>
  <c r="AE116" i="5"/>
  <c r="AF108" i="5"/>
  <c r="AF116" i="5" s="1"/>
  <c r="AF107" i="5"/>
  <c r="AF115" i="5" s="1"/>
  <c r="AE115" i="5"/>
  <c r="AE90" i="5"/>
  <c r="AF82" i="5"/>
  <c r="AF90" i="5" s="1"/>
  <c r="I111" i="5"/>
  <c r="J103" i="5"/>
  <c r="J105" i="5"/>
  <c r="I113" i="5"/>
  <c r="T105" i="5"/>
  <c r="S113" i="5"/>
  <c r="S111" i="5"/>
  <c r="T103" i="5"/>
  <c r="R118" i="5"/>
  <c r="H118" i="5"/>
  <c r="AD86" i="5"/>
  <c r="AE78" i="5"/>
  <c r="AE79" i="5"/>
  <c r="AD87" i="5"/>
  <c r="AD80" i="5"/>
  <c r="AC88" i="5"/>
  <c r="AC93" i="5" s="1"/>
  <c r="S118" i="5" l="1"/>
  <c r="U105" i="5"/>
  <c r="T113" i="5"/>
  <c r="J111" i="5"/>
  <c r="K103" i="5"/>
  <c r="U103" i="5"/>
  <c r="T111" i="5"/>
  <c r="K105" i="5"/>
  <c r="J113" i="5"/>
  <c r="I118" i="5"/>
  <c r="AE86" i="5"/>
  <c r="AF78" i="5"/>
  <c r="AF86" i="5" s="1"/>
  <c r="AF79" i="5"/>
  <c r="AF87" i="5" s="1"/>
  <c r="AE87" i="5"/>
  <c r="AE80" i="5"/>
  <c r="AD88" i="5"/>
  <c r="AD93" i="5" s="1"/>
  <c r="T118" i="5" l="1"/>
  <c r="J118" i="5"/>
  <c r="V103" i="5"/>
  <c r="U111" i="5"/>
  <c r="L105" i="5"/>
  <c r="K113" i="5"/>
  <c r="K111" i="5"/>
  <c r="L103" i="5"/>
  <c r="V105" i="5"/>
  <c r="U113" i="5"/>
  <c r="AE88" i="5"/>
  <c r="AE93" i="5" s="1"/>
  <c r="AF80" i="5"/>
  <c r="AF88" i="5" s="1"/>
  <c r="AF93" i="5" s="1"/>
  <c r="L111" i="5" l="1"/>
  <c r="D48" i="32" a="1"/>
  <c r="D48" i="32" s="1"/>
  <c r="D58" i="32" s="1"/>
  <c r="C20" i="5"/>
  <c r="L113" i="5"/>
  <c r="G48" i="32" a="1"/>
  <c r="G48" i="32" s="1"/>
  <c r="G58" i="32" s="1"/>
  <c r="C22" i="5"/>
  <c r="U118" i="5"/>
  <c r="W105" i="5"/>
  <c r="V113" i="5"/>
  <c r="K118" i="5"/>
  <c r="V111" i="5"/>
  <c r="W103" i="5"/>
  <c r="A34" i="16"/>
  <c r="L118" i="5" l="1"/>
  <c r="H48" i="32" a="1"/>
  <c r="H48" i="32" s="1"/>
  <c r="H58" i="32" s="1"/>
  <c r="V118" i="5"/>
  <c r="W111" i="5"/>
  <c r="X103" i="5"/>
  <c r="X105" i="5"/>
  <c r="W113" i="5"/>
  <c r="B34" i="16"/>
  <c r="C34" i="16" s="1"/>
  <c r="D34" i="16" s="1"/>
  <c r="E34" i="16" s="1"/>
  <c r="F34" i="16" s="1"/>
  <c r="G34" i="16" s="1"/>
  <c r="H34" i="16" s="1"/>
  <c r="I34" i="16" s="1"/>
  <c r="J34" i="16" s="1"/>
  <c r="L34" i="16" l="1"/>
  <c r="L35" i="16" s="1"/>
  <c r="C16" i="5"/>
  <c r="B16" i="5" s="1"/>
  <c r="A42" i="16"/>
  <c r="A15" i="16" s="1"/>
  <c r="A38" i="16"/>
  <c r="A12" i="16" s="1"/>
  <c r="L54" i="32"/>
  <c r="M54" i="32" s="1"/>
  <c r="L56" i="32"/>
  <c r="M56" i="32" s="1"/>
  <c r="L49" i="32"/>
  <c r="M49" i="32" s="1"/>
  <c r="L53" i="32"/>
  <c r="M53" i="32" s="1"/>
  <c r="L55" i="32"/>
  <c r="M55" i="32" s="1"/>
  <c r="L51" i="32"/>
  <c r="M51" i="32" s="1"/>
  <c r="L50" i="32"/>
  <c r="M50" i="32" s="1"/>
  <c r="L57" i="32"/>
  <c r="M57" i="32" s="1"/>
  <c r="L52" i="32"/>
  <c r="M52" i="32" s="1"/>
  <c r="L48" i="32"/>
  <c r="Y105" i="5"/>
  <c r="X113" i="5"/>
  <c r="X111" i="5"/>
  <c r="Y103" i="5"/>
  <c r="W118" i="5"/>
  <c r="C9" i="27" l="1"/>
  <c r="C11" i="27" s="1"/>
  <c r="E27" i="27" s="1"/>
  <c r="L58" i="32"/>
  <c r="M48" i="32"/>
  <c r="C8" i="27"/>
  <c r="C10" i="27" s="1"/>
  <c r="X118" i="5"/>
  <c r="Y111" i="5"/>
  <c r="Z103" i="5"/>
  <c r="Z105" i="5"/>
  <c r="Y113" i="5"/>
  <c r="L22" i="27" l="1"/>
  <c r="M22" i="27" s="1"/>
  <c r="C28" i="27"/>
  <c r="C27" i="27"/>
  <c r="D28" i="27"/>
  <c r="D27" i="27"/>
  <c r="E28" i="27"/>
  <c r="L21" i="27"/>
  <c r="Z111" i="5"/>
  <c r="AA103" i="5"/>
  <c r="AA105" i="5"/>
  <c r="Z113" i="5"/>
  <c r="Y118" i="5"/>
  <c r="E20" i="27" l="1"/>
  <c r="M21" i="27"/>
  <c r="C19" i="27"/>
  <c r="D19" i="27"/>
  <c r="C20" i="27"/>
  <c r="D20" i="27"/>
  <c r="E19" i="27"/>
  <c r="AB105" i="5"/>
  <c r="AA113" i="5"/>
  <c r="AA111" i="5"/>
  <c r="AB103" i="5"/>
  <c r="Z118" i="5"/>
  <c r="AA118" i="5" l="1"/>
  <c r="AC103" i="5"/>
  <c r="AB111" i="5"/>
  <c r="AC105" i="5"/>
  <c r="AB113" i="5"/>
  <c r="AD105" i="5" l="1"/>
  <c r="AC113" i="5"/>
  <c r="AB118" i="5"/>
  <c r="AD103" i="5"/>
  <c r="AC111" i="5"/>
  <c r="AC118" i="5" l="1"/>
  <c r="AD111" i="5"/>
  <c r="AE103" i="5"/>
  <c r="AE105" i="5"/>
  <c r="AD113" i="5"/>
  <c r="AF105" i="5" l="1"/>
  <c r="AF113" i="5" s="1"/>
  <c r="AE113" i="5"/>
  <c r="AE111" i="5"/>
  <c r="AF103" i="5"/>
  <c r="AF111" i="5" s="1"/>
  <c r="AD118" i="5"/>
  <c r="AF118" i="5" l="1"/>
  <c r="AE11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nistorb</author>
  </authors>
  <commentList>
    <comment ref="AD23" authorId="0" shapeId="0" xr:uid="{5E4E4BEC-73E4-4609-8BAB-B97415B5F43F}">
      <text>
        <r>
          <rPr>
            <b/>
            <sz val="9"/>
            <color indexed="81"/>
            <rFont val="Tahoma"/>
            <family val="2"/>
          </rPr>
          <t>Note:</t>
        </r>
        <r>
          <rPr>
            <sz val="9"/>
            <color indexed="81"/>
            <rFont val="Tahoma"/>
            <family val="2"/>
          </rPr>
          <t xml:space="preserve">
arbitrary number to ensure date line is presented</t>
        </r>
      </text>
    </comment>
    <comment ref="BJ26" authorId="0" shapeId="0" xr:uid="{30BF7DBB-16EE-4F4D-88F4-9BD7CD2E1131}">
      <text>
        <r>
          <rPr>
            <b/>
            <sz val="9"/>
            <color indexed="81"/>
            <rFont val="Tahoma"/>
            <family val="2"/>
          </rPr>
          <t>Note:</t>
        </r>
        <r>
          <rPr>
            <sz val="9"/>
            <color indexed="81"/>
            <rFont val="Tahoma"/>
            <family val="2"/>
          </rPr>
          <t xml:space="preserve"> the Zero Carbon Act target is for a 24-47% reduction in biogenic methane. This equates to emissions of between 17.6 and 25.2 Mt CO2-e in 2050. 
The value stated here is the magnitude of this range to assist presentation purposes.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<sst xmlns="http://schemas.openxmlformats.org/spreadsheetml/2006/main" count="1545" uniqueCount="367">
  <si>
    <t>CO2</t>
  </si>
  <si>
    <t>CH4</t>
  </si>
  <si>
    <t>N2O</t>
  </si>
  <si>
    <t>﻿Year</t>
  </si>
  <si>
    <t>CH4 Emissions (kt CO₂-e)</t>
  </si>
  <si>
    <t>CO2 Emissions (kt CO₂)</t>
  </si>
  <si>
    <t>Gross Emissions (kt CO₂-e)</t>
  </si>
  <si>
    <t>N2O Emissions (kt CO₂-e)</t>
  </si>
  <si>
    <t>Year</t>
  </si>
  <si>
    <t>HFCs</t>
  </si>
  <si>
    <t>PFCs</t>
  </si>
  <si>
    <t>AR4</t>
  </si>
  <si>
    <t>AR2</t>
  </si>
  <si>
    <t>N20</t>
  </si>
  <si>
    <t>AR5 (no feedback)</t>
  </si>
  <si>
    <t>AR5 (with feedback)</t>
  </si>
  <si>
    <t>GWP100 values from different IPCC assessment reports</t>
  </si>
  <si>
    <t>% cuts relative to 2010</t>
  </si>
  <si>
    <t>By 2030</t>
  </si>
  <si>
    <t>By 2050</t>
  </si>
  <si>
    <t>Ag CH4</t>
  </si>
  <si>
    <t>Ag N2O</t>
  </si>
  <si>
    <t>kt CO2-e</t>
  </si>
  <si>
    <t>KP target removals (kt CO2)</t>
  </si>
  <si>
    <t>kt gas</t>
  </si>
  <si>
    <t>GWP values</t>
  </si>
  <si>
    <t>IPCC SR1.5 results</t>
  </si>
  <si>
    <t>2020 target level</t>
  </si>
  <si>
    <t>Current NDC</t>
  </si>
  <si>
    <t>HFC Emissions (kt CO₂-e)</t>
  </si>
  <si>
    <t>PFC Emissions (kt CO₂-e)</t>
  </si>
  <si>
    <t>SF6 Emissions (kt CO₂-e)</t>
  </si>
  <si>
    <t>HFCs, PFCs, SF6 together (kt CO2-e)</t>
  </si>
  <si>
    <r>
      <t>CO</t>
    </r>
    <r>
      <rPr>
        <b/>
        <vertAlign val="subscript"/>
        <sz val="9"/>
        <rFont val="Times New Roman"/>
        <family val="1"/>
      </rPr>
      <t>2</t>
    </r>
    <r>
      <rPr>
        <b/>
        <sz val="9"/>
        <rFont val="Times New Roman"/>
        <family val="1"/>
      </rPr>
      <t xml:space="preserve"> emissions without net CO</t>
    </r>
    <r>
      <rPr>
        <b/>
        <vertAlign val="subscript"/>
        <sz val="9"/>
        <rFont val="Times New Roman"/>
        <family val="1"/>
      </rPr>
      <t>2</t>
    </r>
    <r>
      <rPr>
        <b/>
        <sz val="9"/>
        <rFont val="Times New Roman"/>
        <family val="1"/>
      </rPr>
      <t xml:space="preserve"> from LULUCF</t>
    </r>
  </si>
  <si>
    <r>
      <t>CO</t>
    </r>
    <r>
      <rPr>
        <b/>
        <vertAlign val="subscript"/>
        <sz val="9"/>
        <rFont val="Times New Roman"/>
        <family val="1"/>
      </rPr>
      <t>2</t>
    </r>
    <r>
      <rPr>
        <b/>
        <sz val="9"/>
        <rFont val="Times New Roman"/>
        <family val="1"/>
      </rPr>
      <t xml:space="preserve"> emissions with net CO</t>
    </r>
    <r>
      <rPr>
        <b/>
        <vertAlign val="subscript"/>
        <sz val="9"/>
        <rFont val="Times New Roman"/>
        <family val="1"/>
      </rPr>
      <t>2</t>
    </r>
    <r>
      <rPr>
        <b/>
        <sz val="9"/>
        <rFont val="Times New Roman"/>
        <family val="1"/>
      </rPr>
      <t xml:space="preserve"> from LULUCF</t>
    </r>
  </si>
  <si>
    <r>
      <t>CH</t>
    </r>
    <r>
      <rPr>
        <b/>
        <vertAlign val="subscript"/>
        <sz val="9"/>
        <rFont val="Times New Roman"/>
        <family val="1"/>
      </rPr>
      <t>4</t>
    </r>
    <r>
      <rPr>
        <b/>
        <sz val="9"/>
        <rFont val="Times New Roman"/>
        <family val="1"/>
      </rPr>
      <t xml:space="preserve"> emissions without CH</t>
    </r>
    <r>
      <rPr>
        <b/>
        <vertAlign val="subscript"/>
        <sz val="9"/>
        <rFont val="Times New Roman"/>
        <family val="1"/>
      </rPr>
      <t>4</t>
    </r>
    <r>
      <rPr>
        <b/>
        <sz val="9"/>
        <rFont val="Times New Roman"/>
        <family val="1"/>
      </rPr>
      <t xml:space="preserve"> from LULUCF</t>
    </r>
  </si>
  <si>
    <r>
      <t>CH</t>
    </r>
    <r>
      <rPr>
        <b/>
        <vertAlign val="subscript"/>
        <sz val="9"/>
        <rFont val="Times New Roman"/>
        <family val="1"/>
      </rPr>
      <t>4</t>
    </r>
    <r>
      <rPr>
        <b/>
        <sz val="9"/>
        <rFont val="Times New Roman"/>
        <family val="1"/>
      </rPr>
      <t xml:space="preserve"> emissions with CH</t>
    </r>
    <r>
      <rPr>
        <b/>
        <vertAlign val="subscript"/>
        <sz val="9"/>
        <rFont val="Times New Roman"/>
        <family val="1"/>
      </rPr>
      <t>4</t>
    </r>
    <r>
      <rPr>
        <b/>
        <sz val="9"/>
        <rFont val="Times New Roman"/>
        <family val="1"/>
      </rPr>
      <t xml:space="preserve"> from LULUCF</t>
    </r>
  </si>
  <si>
    <r>
      <t>N</t>
    </r>
    <r>
      <rPr>
        <b/>
        <vertAlign val="subscript"/>
        <sz val="9"/>
        <rFont val="Times New Roman"/>
        <family val="1"/>
      </rPr>
      <t>2</t>
    </r>
    <r>
      <rPr>
        <b/>
        <sz val="9"/>
        <rFont val="Times New Roman"/>
        <family val="1"/>
      </rPr>
      <t>O emissions without N</t>
    </r>
    <r>
      <rPr>
        <b/>
        <vertAlign val="subscript"/>
        <sz val="9"/>
        <rFont val="Times New Roman"/>
        <family val="1"/>
      </rPr>
      <t>2</t>
    </r>
    <r>
      <rPr>
        <b/>
        <sz val="9"/>
        <rFont val="Times New Roman"/>
        <family val="1"/>
      </rPr>
      <t>O from LULUCF</t>
    </r>
  </si>
  <si>
    <r>
      <t>N</t>
    </r>
    <r>
      <rPr>
        <b/>
        <vertAlign val="subscript"/>
        <sz val="9"/>
        <rFont val="Times New Roman"/>
        <family val="1"/>
      </rPr>
      <t>2</t>
    </r>
    <r>
      <rPr>
        <b/>
        <sz val="9"/>
        <rFont val="Times New Roman"/>
        <family val="1"/>
      </rPr>
      <t>O emissions with N</t>
    </r>
    <r>
      <rPr>
        <b/>
        <vertAlign val="subscript"/>
        <sz val="9"/>
        <rFont val="Times New Roman"/>
        <family val="1"/>
      </rPr>
      <t>2</t>
    </r>
    <r>
      <rPr>
        <b/>
        <sz val="9"/>
        <rFont val="Times New Roman"/>
        <family val="1"/>
      </rPr>
      <t>O from LULUCF</t>
    </r>
  </si>
  <si>
    <r>
      <t>SF</t>
    </r>
    <r>
      <rPr>
        <b/>
        <vertAlign val="subscript"/>
        <sz val="9"/>
        <rFont val="Times New Roman"/>
        <family val="1"/>
      </rPr>
      <t>6</t>
    </r>
  </si>
  <si>
    <t>Net emissions (total with LULUCF)</t>
  </si>
  <si>
    <t>Gross emissions
(total without LULUCF)</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</si>
  <si>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</si>
  <si>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</si>
  <si>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</si>
  <si>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</si>
  <si>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</si>
  <si>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</si>
  <si>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</si>
  <si>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</si>
  <si>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</si>
  <si>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</si>
  <si>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</si>
  <si>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</si>
  <si>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</si>
  <si>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</si>
  <si>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</si>
  <si>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</si>
  <si>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</si>
  <si>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</si>
  <si>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</si>
  <si>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</si>
  <si>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</si>
  <si>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</si>
  <si>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</si>
  <si>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</si>
  <si>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2015</t>
  </si>
  <si>
    <t>2016</t>
  </si>
  <si>
    <t>2017</t>
  </si>
  <si>
    <t>2018</t>
  </si>
  <si>
    <t>Midpoint</t>
  </si>
  <si>
    <t>GWP</t>
  </si>
  <si>
    <t>F gases</t>
  </si>
  <si>
    <t>on 2005 emissions</t>
  </si>
  <si>
    <t>Budget path</t>
  </si>
  <si>
    <t>SF6</t>
  </si>
  <si>
    <t>Mt CO2-e</t>
  </si>
  <si>
    <r>
      <t>GREENHOUSE GAS EMISSIONS (1990-2019)
CO</t>
    </r>
    <r>
      <rPr>
        <b/>
        <vertAlign val="subscript"/>
        <sz val="9"/>
        <rFont val="Times New Roman"/>
        <family val="1"/>
      </rPr>
      <t>2</t>
    </r>
    <r>
      <rPr>
        <b/>
        <sz val="9"/>
        <rFont val="Times New Roman"/>
        <family val="1"/>
      </rPr>
      <t xml:space="preserve"> equivalent (kt)</t>
    </r>
  </si>
  <si>
    <t>2019</t>
  </si>
  <si>
    <t>Upper quartile</t>
  </si>
  <si>
    <t>Lower quartile</t>
  </si>
  <si>
    <t>https://data.ene.iiasa.ac.at/iamc-1.5c-explorer/#/workspaces</t>
  </si>
  <si>
    <t>Data sourced from:</t>
  </si>
  <si>
    <t>Total net</t>
  </si>
  <si>
    <t xml:space="preserve"> </t>
  </si>
  <si>
    <t>Price ($/tonne)</t>
  </si>
  <si>
    <t>Emission budgets</t>
  </si>
  <si>
    <t>Budget 1</t>
  </si>
  <si>
    <t>Budget 2</t>
  </si>
  <si>
    <t>Budget 3</t>
  </si>
  <si>
    <t>Middle of the IPCC range</t>
  </si>
  <si>
    <t>2020 projected net emissions</t>
  </si>
  <si>
    <t>Domestic NDC net emissions</t>
  </si>
  <si>
    <t>Other inputs</t>
  </si>
  <si>
    <t>NDC approach</t>
  </si>
  <si>
    <t>2017 estimate of the first NDC</t>
  </si>
  <si>
    <t>Latest estimate of the first NDC</t>
  </si>
  <si>
    <r>
      <t>Level (Mt CO</t>
    </r>
    <r>
      <rPr>
        <b/>
        <vertAlign val="subscript"/>
        <sz val="8.5"/>
        <color theme="1"/>
        <rFont val="Calibri"/>
        <family val="2"/>
        <scheme val="minor"/>
      </rPr>
      <t>2</t>
    </r>
    <r>
      <rPr>
        <b/>
        <sz val="11"/>
        <color theme="1"/>
        <rFont val="Calibri"/>
        <family val="2"/>
        <scheme val="minor"/>
      </rPr>
      <t>e)</t>
    </r>
  </si>
  <si>
    <t>Middle of the IPCC interquartile range</t>
  </si>
  <si>
    <t>Implied offshore mitigation
(Mt CO2e)</t>
  </si>
  <si>
    <t>Upper end of IPCC range</t>
  </si>
  <si>
    <t>F-gas quartiles taken of unique model results only to avoid double counting</t>
  </si>
  <si>
    <t>Emissions trajectory to IPCC 2030 and 2050 gas targets by gas</t>
  </si>
  <si>
    <t>selected</t>
  </si>
  <si>
    <t>AR4 to AR5</t>
  </si>
  <si>
    <t>Inputs</t>
  </si>
  <si>
    <t>Outputs</t>
  </si>
  <si>
    <t>2020 trajectory</t>
  </si>
  <si>
    <t>2020 target</t>
  </si>
  <si>
    <t>Gross emissions</t>
  </si>
  <si>
    <t>Gross CPR</t>
  </si>
  <si>
    <t>Net CPR</t>
  </si>
  <si>
    <t>Gross emissions actuals</t>
  </si>
  <si>
    <t>Projected target accounting emissions</t>
  </si>
  <si>
    <t>Notes:</t>
  </si>
  <si>
    <r>
      <t>1) all gases are expressed in million tonnes of carbon dioxide equivalent (Mt CO</t>
    </r>
    <r>
      <rPr>
        <vertAlign val="subscript"/>
        <sz val="11"/>
        <color theme="1"/>
        <rFont val="Calibri"/>
        <family val="2"/>
        <scheme val="minor"/>
      </rPr>
      <t>2</t>
    </r>
    <r>
      <rPr>
        <sz val="11"/>
        <color theme="1"/>
        <rFont val="Calibri"/>
        <family val="2"/>
        <scheme val="minor"/>
      </rPr>
      <t>-e)</t>
    </r>
  </si>
  <si>
    <t>2) gross emissions are the total emissions from the agriculture, energy, industrial processes and product use, and waste sectors including Tokelau (as reported in the New Zealand Greenhouse Gas Inventory)</t>
  </si>
  <si>
    <t>https://www.mfe.govt.nz/climate-change/state-of-our-atmosphere-and-climate/new-zealands-greenhouse-gas-inventory</t>
  </si>
  <si>
    <t xml:space="preserve">3) net emissions are gross emissions plus emissions and removals from the land use, land-use change and forestry sector </t>
  </si>
  <si>
    <r>
      <t xml:space="preserve">4) target accounting emissions </t>
    </r>
    <r>
      <rPr>
        <sz val="11"/>
        <color rgb="FFFF0000"/>
        <rFont val="Calibri"/>
        <family val="2"/>
        <scheme val="minor"/>
      </rPr>
      <t>include</t>
    </r>
    <r>
      <rPr>
        <sz val="11"/>
        <color theme="1"/>
        <rFont val="Calibri"/>
        <family val="2"/>
        <scheme val="minor"/>
      </rPr>
      <t xml:space="preserve"> gross emissions </t>
    </r>
    <r>
      <rPr>
        <sz val="11"/>
        <color rgb="FFFF0000"/>
        <rFont val="Calibri"/>
        <family val="2"/>
        <scheme val="minor"/>
      </rPr>
      <t>and a</t>
    </r>
    <r>
      <rPr>
        <sz val="11"/>
        <color theme="1"/>
        <rFont val="Calibri"/>
        <family val="2"/>
        <scheme val="minor"/>
      </rPr>
      <t xml:space="preserve"> subset of the emissions and removals from land use, land-use change and forestry</t>
    </r>
  </si>
  <si>
    <t>5) the rules to account for emissions and removals from forestry and land-use activities differ between the 2008–2012, 2013–2020 and 2021-2030 target periods</t>
  </si>
  <si>
    <t>6) the rules to account for emissions and removals from forestry and land-use activities post 2030 are yet to be confirmed. Here we show the result when applying the same rules as New Zealand's first Nationally Determined Contribution (NDC1) for 2021–2030</t>
  </si>
  <si>
    <t>7) for more information on New Zealand's emission reduction targets see Chapter II of New Zealand's Fourth Biennial Report here</t>
  </si>
  <si>
    <t xml:space="preserve">https://www.mfe.govt.nz/climate-change/climate-change-and-government/progress-towards-our-international-climate-change </t>
  </si>
  <si>
    <t>Net emissions</t>
  </si>
  <si>
    <t>Target accounting emissions</t>
  </si>
  <si>
    <t>Target accounting emissions (2013–2020)</t>
  </si>
  <si>
    <t>Target accounting emissions (2021–2030)</t>
  </si>
  <si>
    <t>Post-2030 target accounting using NDC1 rules</t>
  </si>
  <si>
    <t>Kyoto Protocol target (2008–2012)</t>
  </si>
  <si>
    <t>Current UNFCCC target (2013–2020)</t>
  </si>
  <si>
    <t>Paris NDC target (2021–2030) (indicative value)</t>
  </si>
  <si>
    <t>Vertical line</t>
  </si>
  <si>
    <t>Net zero all GHGs except biogenic methane</t>
  </si>
  <si>
    <t>Zero Carbon Act 2050 target</t>
  </si>
  <si>
    <t>ZCA 2050 target calculations</t>
  </si>
  <si>
    <r>
      <rPr>
        <sz val="11"/>
        <color theme="1"/>
        <rFont val="Calibri"/>
        <family val="2"/>
        <scheme val="minor"/>
      </rPr>
      <t>2017 biogenic methane emissions</t>
    </r>
  </si>
  <si>
    <r>
      <t>24% reduction in</t>
    </r>
    <r>
      <rPr>
        <sz val="11"/>
        <color theme="1"/>
        <rFont val="Calibri"/>
        <family val="2"/>
        <scheme val="minor"/>
      </rPr>
      <t xml:space="preserve"> 2017 biogenic methane</t>
    </r>
  </si>
  <si>
    <r>
      <t xml:space="preserve">47% reduction in </t>
    </r>
    <r>
      <rPr>
        <sz val="11"/>
        <color theme="1"/>
        <rFont val="Calibri"/>
        <family val="2"/>
        <scheme val="minor"/>
      </rPr>
      <t>2017 biogenic methane</t>
    </r>
  </si>
  <si>
    <t>Net forest removals target accounting</t>
  </si>
  <si>
    <t>Net removals target accounting actuals</t>
  </si>
  <si>
    <t>Start point</t>
  </si>
  <si>
    <t>End point</t>
  </si>
  <si>
    <t xml:space="preserve">1990 emissions </t>
  </si>
  <si>
    <t>(kt gas)</t>
  </si>
  <si>
    <t xml:space="preserve">2020 target 5% reduction on 1990 </t>
  </si>
  <si>
    <t xml:space="preserve">2010 emissions </t>
  </si>
  <si>
    <t>IPCC 2030 Lower Quartile reductions</t>
  </si>
  <si>
    <t xml:space="preserve"> (kt gas)</t>
  </si>
  <si>
    <t xml:space="preserve">IPCC 2030 Upper Quartile reductions </t>
  </si>
  <si>
    <t>Methane</t>
  </si>
  <si>
    <t>Nitrous oxide</t>
  </si>
  <si>
    <t>Perfluorocarbons</t>
  </si>
  <si>
    <t>Hydrofluorocarbons</t>
  </si>
  <si>
    <t>Sulphur hexafluoride</t>
  </si>
  <si>
    <t>(kt CO2-e)</t>
  </si>
  <si>
    <r>
      <t>Carbon dioxide (kt CO</t>
    </r>
    <r>
      <rPr>
        <b/>
        <vertAlign val="subscript"/>
        <sz val="11"/>
        <color theme="1"/>
        <rFont val="Calibri"/>
        <family val="2"/>
        <scheme val="minor"/>
      </rPr>
      <t>2</t>
    </r>
    <r>
      <rPr>
        <b/>
        <sz val="11"/>
        <color theme="1"/>
        <rFont val="Calibri"/>
        <family val="2"/>
        <scheme val="minor"/>
      </rPr>
      <t>)</t>
    </r>
  </si>
  <si>
    <t xml:space="preserve">Methane </t>
  </si>
  <si>
    <r>
      <t>(kt CH</t>
    </r>
    <r>
      <rPr>
        <b/>
        <vertAlign val="subscript"/>
        <sz val="11"/>
        <color theme="1"/>
        <rFont val="Calibri"/>
        <family val="2"/>
        <scheme val="minor"/>
      </rPr>
      <t>4</t>
    </r>
    <r>
      <rPr>
        <b/>
        <sz val="11"/>
        <color theme="1"/>
        <rFont val="Calibri"/>
        <family val="2"/>
        <scheme val="minor"/>
      </rPr>
      <t>)</t>
    </r>
  </si>
  <si>
    <r>
      <t>(kt CO</t>
    </r>
    <r>
      <rPr>
        <b/>
        <vertAlign val="subscript"/>
        <sz val="11"/>
        <color theme="1"/>
        <rFont val="Calibri"/>
        <family val="2"/>
        <scheme val="minor"/>
      </rPr>
      <t>2</t>
    </r>
    <r>
      <rPr>
        <b/>
        <sz val="11"/>
        <color theme="1"/>
        <rFont val="Calibri"/>
        <family val="2"/>
        <scheme val="minor"/>
      </rPr>
      <t>e)</t>
    </r>
  </si>
  <si>
    <t xml:space="preserve">Nitrous oxide </t>
  </si>
  <si>
    <r>
      <t>(kt N</t>
    </r>
    <r>
      <rPr>
        <b/>
        <vertAlign val="subscript"/>
        <sz val="11"/>
        <color theme="1"/>
        <rFont val="Calibri"/>
        <family val="2"/>
        <scheme val="minor"/>
      </rPr>
      <t>2</t>
    </r>
    <r>
      <rPr>
        <b/>
        <sz val="11"/>
        <color theme="1"/>
        <rFont val="Calibri"/>
        <family val="2"/>
        <scheme val="minor"/>
      </rPr>
      <t>O)</t>
    </r>
  </si>
  <si>
    <t xml:space="preserve">Total </t>
  </si>
  <si>
    <t>2020 start point</t>
  </si>
  <si>
    <t>Total 2021-2030</t>
  </si>
  <si>
    <t>Emissions trajectory associated with IPCC lower quartile cuts for 1.5°C pathways</t>
  </si>
  <si>
    <t>Emissions trajectory associated with IPCC upper quartile cuts for 1.5°C pathways</t>
  </si>
  <si>
    <t>Percentage change relative to 2010 by 2030</t>
  </si>
  <si>
    <t>Net carbon dioxide emissions</t>
  </si>
  <si>
    <t>Agricultural methane emissions</t>
  </si>
  <si>
    <t>Agricultural nitrous oxide emissions</t>
  </si>
  <si>
    <t>Hydrofluorocarbon emissions</t>
  </si>
  <si>
    <t>Perfluorocarbon emissions</t>
  </si>
  <si>
    <t>Sulphur hexafluoride emissions</t>
  </si>
  <si>
    <t>Gross</t>
  </si>
  <si>
    <t>Net</t>
  </si>
  <si>
    <t>Forestry</t>
  </si>
  <si>
    <t>Waste</t>
  </si>
  <si>
    <t>Agriculture</t>
  </si>
  <si>
    <t>IPPU</t>
  </si>
  <si>
    <t>Non-Transport Energy</t>
  </si>
  <si>
    <t>Transport Energy</t>
  </si>
  <si>
    <t>Summary LLG emissions by inventory type (ktCO2e)</t>
  </si>
  <si>
    <t>Summary biogenic CH4 by inventory type (ktCO2e)</t>
  </si>
  <si>
    <t>Summary emissions by inventory type (ktCO2e)</t>
  </si>
  <si>
    <t>CPR</t>
  </si>
  <si>
    <t>IPCC  LQ by 2050</t>
  </si>
  <si>
    <t>IPCC  UQ by 2050</t>
  </si>
  <si>
    <t>Average budget 2030s</t>
  </si>
  <si>
    <t>Upper quartile modelled reductions</t>
  </si>
  <si>
    <t>Lower quartile modelled reductions</t>
  </si>
  <si>
    <t>AR5</t>
  </si>
  <si>
    <t>Colour key</t>
  </si>
  <si>
    <t>Tabs</t>
  </si>
  <si>
    <t>Light green tabs are calculation tabs</t>
  </si>
  <si>
    <t>Orange tabs are for specific outputs such as tables or graphs</t>
  </si>
  <si>
    <t>Cells</t>
  </si>
  <si>
    <t>Light blue shading is for calculated outputs</t>
  </si>
  <si>
    <t>Yellow highlight is for input variables that can be user changed/selected</t>
  </si>
  <si>
    <t>Grey tabs are for input data</t>
  </si>
  <si>
    <t>NDC tool</t>
  </si>
  <si>
    <t>Calculates the NDC budget for NZ for the current NDC (or variable level), and the comparison NDC using both the upper and lower quartile modelled reductions by the IPCC</t>
  </si>
  <si>
    <t>% on 2005 back calculator</t>
  </si>
  <si>
    <t>Tables in advice report</t>
  </si>
  <si>
    <t>Tables in evidence report</t>
  </si>
  <si>
    <t>Calculates the NDC budget for NZ for the current NDC (or variable level), and the comparison NDC using both the upper and lower quartile modelled reductions by the IPCC. Can use AR4 or AR5 GWPs</t>
  </si>
  <si>
    <t>Carries over calculation figures from the NDC tool sheet to the tables for the evidence report that demonstrate how the comparison IPCC NDC budgets were arrived at.</t>
  </si>
  <si>
    <t>Graphs</t>
  </si>
  <si>
    <t>NZ emissions AR4</t>
  </si>
  <si>
    <t>Pulls forward time series emissions by gas from greenhouse gas inventory data, and includes the range of possible GWP values for methane and nitrous oxide</t>
  </si>
  <si>
    <t>NZ emissions AR5</t>
  </si>
  <si>
    <t>Converts time series emissions data to use GWP values from AR5. Done in the sheet for methane, nitrous oxide and sulphur hexafluroide. HFC and PFC conversion is done spearately as each represents an aggregated category of multiple gases.</t>
  </si>
  <si>
    <t>Emissions data extracted from the ENZ model for our budget path</t>
  </si>
  <si>
    <t>Emissions data extracted from the ENZ model for the current policy reference scenario</t>
  </si>
  <si>
    <t>MfE Target accounting emissions</t>
  </si>
  <si>
    <t>IPCC modelled reductions</t>
  </si>
  <si>
    <t>Proportional reductions modelled by the IPCC to different gases in scenarios with no or low overshoot.</t>
  </si>
  <si>
    <t>2021 inventory emissions</t>
  </si>
  <si>
    <t>Summary emissions data by gas from the NZ greenhouse gas inventory released in April 2021</t>
  </si>
  <si>
    <t>Contents - tabs</t>
  </si>
  <si>
    <t>Pulls emissions data from different worksheets into one place so that it can be graphed, and includes the graphs used in the advice report.</t>
  </si>
  <si>
    <t>Direct/indirect costs included</t>
  </si>
  <si>
    <t>Direct cost only</t>
  </si>
  <si>
    <t>Direct + indirect costs</t>
  </si>
  <si>
    <t>Upper quartile reductions</t>
  </si>
  <si>
    <t>Midpoint reductions</t>
  </si>
  <si>
    <t>Shortfall midpoint</t>
  </si>
  <si>
    <t>Shortfall UQ</t>
  </si>
  <si>
    <t>Kyoto Protocol</t>
  </si>
  <si>
    <t>Gross emissions projected</t>
  </si>
  <si>
    <t>Current NDC trajectory</t>
  </si>
  <si>
    <t xml:space="preserve">Data extracted from MfE's emission projections. These projections are the most current as of May 2021, but do not incorporate the latest GHG inventory updates. This data is incliuded to extract the historic data on removals under target accounting to be applied to graphs, and row 16 has been inserted in this tab by the CCC to do this. </t>
  </si>
  <si>
    <t>Turns a given NDC budget (in kt CO2e) back into a trajectory from the 2020 target, to allow the headline target for 2030 to be calculated, against both 2005 and 1990 baselines.</t>
  </si>
  <si>
    <t>Current NDC budget</t>
  </si>
  <si>
    <t>Comparison IPCC pathway NDC budgets</t>
  </si>
  <si>
    <t>Lower quartile reductions</t>
  </si>
  <si>
    <t>All figures kt CO2-e</t>
  </si>
  <si>
    <t>Comparison IPCC pathways NDC budgets by gas</t>
  </si>
  <si>
    <t xml:space="preserve">AR5 GWP is switched on for NDC calculations! These tables use AR4 emissions budget data. These tables will be incorrect while AR5 switch is enabled! </t>
  </si>
  <si>
    <t>Number of decimal places to display</t>
  </si>
  <si>
    <t>Lower quartile emissions / Upper quartile reductions of the IPCC range</t>
  </si>
  <si>
    <t>Table 22.2</t>
  </si>
  <si>
    <t>Table 22.3</t>
  </si>
  <si>
    <t>Table 22.1</t>
  </si>
  <si>
    <t>Multiplier for terms of trade</t>
  </si>
  <si>
    <t>Demonstration path net</t>
  </si>
  <si>
    <t>Demonstration path after budgets</t>
  </si>
  <si>
    <t>Data sourced from</t>
  </si>
  <si>
    <t>https://environment.govt.nz/publications/new-zealands-greenhouse-gas-inventory-1990-2019/</t>
  </si>
  <si>
    <t>Calculations</t>
  </si>
  <si>
    <t>Base year for IPCC pathways - 2010 emissions</t>
  </si>
  <si>
    <t>Starting point for NDC trajectories - 2020 target pro-rated by gas: 95% of 1990 emissions</t>
  </si>
  <si>
    <t>Current NDC trajectory - 2020 target to 2030 NDC target</t>
  </si>
  <si>
    <t>Kt CO2-e per year</t>
  </si>
  <si>
    <t>Gas trajectories by decade - lower quartile IPCC reductions</t>
  </si>
  <si>
    <t>Gas trajectories by decade - upper quartile IPCC reductions</t>
  </si>
  <si>
    <t>Emissions trajectory to IPCC 2030 and 2050 gas targets in kt CO2-e</t>
  </si>
  <si>
    <t>Input</t>
  </si>
  <si>
    <t>NDC budget</t>
  </si>
  <si>
    <t>Equivalent percentage reduction target on 2005 levels</t>
  </si>
  <si>
    <t>Equivalent percentage reduction target on 1990 levels</t>
  </si>
  <si>
    <t>Note: Current GWP in use:</t>
  </si>
  <si>
    <t>Annual increment</t>
  </si>
  <si>
    <t>Emissions trajectory by year - kt CO2-e</t>
  </si>
  <si>
    <t>Check - total</t>
  </si>
  <si>
    <t>Table 13.1</t>
  </si>
  <si>
    <t>Net carbon dioxide</t>
  </si>
  <si>
    <t>Table 13.2</t>
  </si>
  <si>
    <r>
      <t>Footnote:</t>
    </r>
    <r>
      <rPr>
        <sz val="10"/>
        <color theme="1"/>
        <rFont val="Calibri"/>
        <family val="2"/>
        <scheme val="minor"/>
      </rPr>
      <t xml:space="preserve"> Reductions of net carbon dioxide emissions have here been applied to gross carbon dioxide levels consistent with target accounting. This accounting recognises that land sector emissions need to be reduced, but land sector removals do not need to continue indefinitely. This is discussed in the forest accounting section above, and in further detail in </t>
    </r>
    <r>
      <rPr>
        <i/>
        <sz val="10"/>
        <color theme="1"/>
        <rFont val="Calibri"/>
        <family val="2"/>
        <scheme val="minor"/>
      </rPr>
      <t>Chapter 3: How to measure progress.</t>
    </r>
  </si>
  <si>
    <t>Table 13.3</t>
  </si>
  <si>
    <t>Table 13.4</t>
  </si>
  <si>
    <t>Table 13.5</t>
  </si>
  <si>
    <t>2030 emissions as a proportion reduction on 1990 emissions</t>
  </si>
  <si>
    <t>2030 emissions as a proportion reduction on 2005 emissions</t>
  </si>
  <si>
    <t>Checks</t>
  </si>
  <si>
    <t>TABLE 10  EMISSION TRENDS</t>
  </si>
  <si>
    <t>Inventory 2019</t>
  </si>
  <si>
    <r>
      <t>HFCs, PFCs, SF</t>
    </r>
    <r>
      <rPr>
        <b/>
        <vertAlign val="subscript"/>
        <sz val="12"/>
        <rFont val="Times New Roman"/>
        <family val="1"/>
      </rPr>
      <t>6</t>
    </r>
    <r>
      <rPr>
        <b/>
        <sz val="12"/>
        <rFont val="Times New Roman"/>
        <family val="1"/>
      </rPr>
      <t>, and NF</t>
    </r>
    <r>
      <rPr>
        <b/>
        <vertAlign val="subscript"/>
        <sz val="12"/>
        <rFont val="Times New Roman"/>
        <family val="1"/>
      </rPr>
      <t>3</t>
    </r>
  </si>
  <si>
    <t>Submission 2021 v1</t>
  </si>
  <si>
    <t>(Sheet 5 of 6)</t>
  </si>
  <si>
    <t>NEW ZEALAND</t>
  </si>
  <si>
    <t>GREENHOUSE GAS SOURCE AND SINK CATEGORIES</t>
  </si>
  <si>
    <r>
      <t>Base year</t>
    </r>
    <r>
      <rPr>
        <b/>
        <vertAlign val="superscript"/>
        <sz val="9"/>
        <rFont val="Times New Roman"/>
        <family val="1"/>
      </rPr>
      <t>(1)</t>
    </r>
  </si>
  <si>
    <t>2014</t>
  </si>
  <si>
    <t>Change from base to latest reported year</t>
  </si>
  <si>
    <t>(kt)</t>
  </si>
  <si>
    <t>%</t>
  </si>
  <si>
    <r>
      <t>Emissions of HFCs and PFCs -  (kt CO</t>
    </r>
    <r>
      <rPr>
        <b/>
        <vertAlign val="subscript"/>
        <sz val="9"/>
        <rFont val="Times New Roman"/>
        <family val="1"/>
      </rPr>
      <t>2</t>
    </r>
    <r>
      <rPr>
        <b/>
        <sz val="9"/>
        <rFont val="Times New Roman"/>
        <family val="1"/>
      </rPr>
      <t xml:space="preserve"> equivalent) </t>
    </r>
  </si>
  <si>
    <r>
      <t>Emissions of HFCs -  (kt CO</t>
    </r>
    <r>
      <rPr>
        <b/>
        <vertAlign val="subscript"/>
        <sz val="9"/>
        <rFont val="Times New Roman"/>
        <family val="1"/>
      </rPr>
      <t>2</t>
    </r>
    <r>
      <rPr>
        <b/>
        <sz val="9"/>
        <rFont val="Times New Roman"/>
        <family val="1"/>
      </rPr>
      <t xml:space="preserve"> equivalent) </t>
    </r>
  </si>
  <si>
    <t>NO,NA</t>
  </si>
  <si>
    <t>HFC-23</t>
  </si>
  <si>
    <t>HFC-32</t>
  </si>
  <si>
    <t>HFC-41</t>
  </si>
  <si>
    <t>NA</t>
  </si>
  <si>
    <t>HFC-43-10mee</t>
  </si>
  <si>
    <t>HFC-125</t>
  </si>
  <si>
    <t>HFC-134</t>
  </si>
  <si>
    <t>HFC-134a</t>
  </si>
  <si>
    <t>HFC-143</t>
  </si>
  <si>
    <t>HFC-143a</t>
  </si>
  <si>
    <t>HFC-152</t>
  </si>
  <si>
    <t>HFC-152a</t>
  </si>
  <si>
    <t>HFC-161</t>
  </si>
  <si>
    <t>HFC-227ea</t>
  </si>
  <si>
    <t>HFC-236cb</t>
  </si>
  <si>
    <t>HFC-236ea</t>
  </si>
  <si>
    <t>HFC-236fa</t>
  </si>
  <si>
    <t>HFC-245ca</t>
  </si>
  <si>
    <t>HFC-245fa</t>
  </si>
  <si>
    <t>HFC-365mfc</t>
  </si>
  <si>
    <r>
      <t>Unspecified mix of HFCs</t>
    </r>
    <r>
      <rPr>
        <vertAlign val="superscript"/>
        <sz val="9"/>
        <rFont val="Times New Roman"/>
        <family val="1"/>
      </rPr>
      <t>(4)</t>
    </r>
    <r>
      <rPr>
        <sz val="9"/>
        <rFont val="Times New Roman"/>
        <family val="1"/>
      </rPr>
      <t xml:space="preserve"> -  (kt CO</t>
    </r>
    <r>
      <rPr>
        <vertAlign val="subscript"/>
        <sz val="9"/>
        <rFont val="Times New Roman"/>
        <family val="1"/>
      </rPr>
      <t>2</t>
    </r>
    <r>
      <rPr>
        <sz val="9"/>
        <rFont val="Times New Roman"/>
        <family val="1"/>
      </rPr>
      <t xml:space="preserve"> equivalent) </t>
    </r>
  </si>
  <si>
    <r>
      <t>Emissions of PFCs</t>
    </r>
    <r>
      <rPr>
        <b/>
        <vertAlign val="superscript"/>
        <sz val="9"/>
        <rFont val="Times New Roman"/>
        <family val="1"/>
      </rPr>
      <t xml:space="preserve"> </t>
    </r>
    <r>
      <rPr>
        <b/>
        <sz val="9"/>
        <rFont val="Times New Roman"/>
        <family val="1"/>
      </rPr>
      <t>-  (kt CO</t>
    </r>
    <r>
      <rPr>
        <b/>
        <vertAlign val="subscript"/>
        <sz val="9"/>
        <rFont val="Times New Roman"/>
        <family val="1"/>
      </rPr>
      <t>2</t>
    </r>
    <r>
      <rPr>
        <b/>
        <sz val="9"/>
        <rFont val="Times New Roman"/>
        <family val="1"/>
      </rPr>
      <t xml:space="preserve"> equivalent) </t>
    </r>
  </si>
  <si>
    <r>
      <t>CF</t>
    </r>
    <r>
      <rPr>
        <vertAlign val="subscript"/>
        <sz val="9"/>
        <rFont val="Times New Roman"/>
        <family val="1"/>
      </rPr>
      <t>4</t>
    </r>
  </si>
  <si>
    <r>
      <t>C</t>
    </r>
    <r>
      <rPr>
        <vertAlign val="subscript"/>
        <sz val="9"/>
        <rFont val="Times New Roman"/>
        <family val="1"/>
      </rPr>
      <t>2</t>
    </r>
    <r>
      <rPr>
        <sz val="9"/>
        <rFont val="Times New Roman"/>
        <family val="1"/>
      </rPr>
      <t>F</t>
    </r>
    <r>
      <rPr>
        <vertAlign val="subscript"/>
        <sz val="9"/>
        <rFont val="Times New Roman"/>
        <family val="1"/>
      </rPr>
      <t>6</t>
    </r>
  </si>
  <si>
    <r>
      <t>C</t>
    </r>
    <r>
      <rPr>
        <vertAlign val="subscript"/>
        <sz val="9"/>
        <rFont val="Times New Roman"/>
        <family val="1"/>
      </rPr>
      <t>3</t>
    </r>
    <r>
      <rPr>
        <sz val="9"/>
        <rFont val="Times New Roman"/>
        <family val="1"/>
      </rPr>
      <t>F</t>
    </r>
    <r>
      <rPr>
        <vertAlign val="subscript"/>
        <sz val="9"/>
        <rFont val="Times New Roman"/>
        <family val="1"/>
      </rPr>
      <t>8</t>
    </r>
  </si>
  <si>
    <r>
      <t>C</t>
    </r>
    <r>
      <rPr>
        <vertAlign val="subscript"/>
        <sz val="9"/>
        <rFont val="Times New Roman"/>
        <family val="1"/>
      </rPr>
      <t>4</t>
    </r>
    <r>
      <rPr>
        <sz val="9"/>
        <rFont val="Times New Roman"/>
        <family val="1"/>
      </rPr>
      <t>F</t>
    </r>
    <r>
      <rPr>
        <vertAlign val="subscript"/>
        <sz val="9"/>
        <rFont val="Times New Roman"/>
        <family val="1"/>
      </rPr>
      <t>10</t>
    </r>
  </si>
  <si>
    <r>
      <t>c-C</t>
    </r>
    <r>
      <rPr>
        <vertAlign val="subscript"/>
        <sz val="9"/>
        <rFont val="Times New Roman"/>
        <family val="1"/>
      </rPr>
      <t>4</t>
    </r>
    <r>
      <rPr>
        <sz val="9"/>
        <rFont val="Times New Roman"/>
        <family val="1"/>
      </rPr>
      <t>F</t>
    </r>
    <r>
      <rPr>
        <vertAlign val="subscript"/>
        <sz val="9"/>
        <rFont val="Times New Roman"/>
        <family val="1"/>
      </rPr>
      <t>8</t>
    </r>
  </si>
  <si>
    <r>
      <t>C</t>
    </r>
    <r>
      <rPr>
        <vertAlign val="subscript"/>
        <sz val="9"/>
        <rFont val="Times New Roman"/>
        <family val="1"/>
      </rPr>
      <t>5</t>
    </r>
    <r>
      <rPr>
        <sz val="9"/>
        <rFont val="Times New Roman"/>
        <family val="1"/>
      </rPr>
      <t>F</t>
    </r>
    <r>
      <rPr>
        <vertAlign val="subscript"/>
        <sz val="9"/>
        <rFont val="Times New Roman"/>
        <family val="1"/>
      </rPr>
      <t>12</t>
    </r>
  </si>
  <si>
    <r>
      <t>C</t>
    </r>
    <r>
      <rPr>
        <vertAlign val="subscript"/>
        <sz val="9"/>
        <rFont val="Times New Roman"/>
        <family val="1"/>
      </rPr>
      <t>6</t>
    </r>
    <r>
      <rPr>
        <sz val="9"/>
        <rFont val="Times New Roman"/>
        <family val="1"/>
      </rPr>
      <t>F</t>
    </r>
    <r>
      <rPr>
        <vertAlign val="subscript"/>
        <sz val="9"/>
        <rFont val="Times New Roman"/>
        <family val="1"/>
      </rPr>
      <t>14</t>
    </r>
  </si>
  <si>
    <r>
      <t>C</t>
    </r>
    <r>
      <rPr>
        <vertAlign val="subscript"/>
        <sz val="9"/>
        <rFont val="Times New Roman"/>
        <family val="1"/>
      </rPr>
      <t>10</t>
    </r>
    <r>
      <rPr>
        <sz val="9"/>
        <rFont val="Times New Roman"/>
        <family val="1"/>
      </rPr>
      <t>F</t>
    </r>
    <r>
      <rPr>
        <vertAlign val="subscript"/>
        <sz val="9"/>
        <rFont val="Times New Roman"/>
        <family val="1"/>
      </rPr>
      <t>18</t>
    </r>
  </si>
  <si>
    <r>
      <t>c-C</t>
    </r>
    <r>
      <rPr>
        <vertAlign val="subscript"/>
        <sz val="9"/>
        <rFont val="Times New Roman"/>
        <family val="1"/>
      </rPr>
      <t>3</t>
    </r>
    <r>
      <rPr>
        <sz val="9"/>
        <rFont val="Times New Roman"/>
        <family val="1"/>
      </rPr>
      <t>F</t>
    </r>
    <r>
      <rPr>
        <vertAlign val="subscript"/>
        <sz val="9"/>
        <rFont val="Times New Roman"/>
        <family val="1"/>
      </rPr>
      <t>6</t>
    </r>
  </si>
  <si>
    <r>
      <t>Unspecified mix of PFCs</t>
    </r>
    <r>
      <rPr>
        <vertAlign val="superscript"/>
        <sz val="9"/>
        <rFont val="Times New Roman"/>
        <family val="1"/>
      </rPr>
      <t>(4)</t>
    </r>
    <r>
      <rPr>
        <sz val="9"/>
        <rFont val="Times New Roman"/>
        <family val="1"/>
      </rPr>
      <t xml:space="preserve"> -  (kt CO</t>
    </r>
    <r>
      <rPr>
        <vertAlign val="subscript"/>
        <sz val="9"/>
        <rFont val="Times New Roman"/>
        <family val="1"/>
      </rPr>
      <t>2</t>
    </r>
    <r>
      <rPr>
        <sz val="9"/>
        <rFont val="Times New Roman"/>
        <family val="1"/>
      </rPr>
      <t xml:space="preserve"> equivalent) </t>
    </r>
  </si>
  <si>
    <r>
      <t>Unspecified mix of HFCs and PFCs - (kt CO</t>
    </r>
    <r>
      <rPr>
        <b/>
        <vertAlign val="subscript"/>
        <sz val="9"/>
        <rFont val="Times New Roman"/>
        <family val="1"/>
      </rPr>
      <t>2</t>
    </r>
    <r>
      <rPr>
        <b/>
        <sz val="9"/>
        <rFont val="Times New Roman"/>
        <family val="1"/>
      </rPr>
      <t xml:space="preserve"> equivalent)</t>
    </r>
  </si>
  <si>
    <r>
      <t>Emissions of  SF</t>
    </r>
    <r>
      <rPr>
        <b/>
        <vertAlign val="subscript"/>
        <sz val="9"/>
        <rFont val="Times New Roman"/>
        <family val="1"/>
      </rPr>
      <t>6</t>
    </r>
    <r>
      <rPr>
        <b/>
        <sz val="9"/>
        <rFont val="Times New Roman"/>
        <family val="1"/>
      </rPr>
      <t xml:space="preserve"> -  (kt CO</t>
    </r>
    <r>
      <rPr>
        <b/>
        <vertAlign val="subscript"/>
        <sz val="9"/>
        <rFont val="Times New Roman"/>
        <family val="1"/>
      </rPr>
      <t>2</t>
    </r>
    <r>
      <rPr>
        <b/>
        <sz val="9"/>
        <rFont val="Times New Roman"/>
        <family val="1"/>
      </rPr>
      <t xml:space="preserve"> equivalent)</t>
    </r>
  </si>
  <si>
    <r>
      <t>SF</t>
    </r>
    <r>
      <rPr>
        <vertAlign val="subscript"/>
        <sz val="9"/>
        <rFont val="Times New Roman"/>
        <family val="1"/>
      </rPr>
      <t>6</t>
    </r>
  </si>
  <si>
    <r>
      <t>Emissions of NF</t>
    </r>
    <r>
      <rPr>
        <b/>
        <vertAlign val="subscript"/>
        <sz val="9"/>
        <rFont val="Times New Roman"/>
        <family val="1"/>
      </rPr>
      <t>3</t>
    </r>
    <r>
      <rPr>
        <b/>
        <sz val="9"/>
        <rFont val="Times New Roman"/>
        <family val="1"/>
      </rPr>
      <t xml:space="preserve"> - (kt CO</t>
    </r>
    <r>
      <rPr>
        <b/>
        <vertAlign val="subscript"/>
        <sz val="9"/>
        <rFont val="Times New Roman"/>
        <family val="1"/>
      </rPr>
      <t>2</t>
    </r>
    <r>
      <rPr>
        <b/>
        <sz val="9"/>
        <rFont val="Times New Roman"/>
        <family val="1"/>
      </rPr>
      <t xml:space="preserve"> equivalent)</t>
    </r>
  </si>
  <si>
    <r>
      <t>NF</t>
    </r>
    <r>
      <rPr>
        <vertAlign val="subscript"/>
        <sz val="9"/>
        <rFont val="Times New Roman"/>
        <family val="1"/>
      </rPr>
      <t>3</t>
    </r>
  </si>
  <si>
    <r>
      <t xml:space="preserve">Note: </t>
    </r>
    <r>
      <rPr>
        <sz val="9"/>
        <rFont val="Times New Roman"/>
        <family val="1"/>
      </rPr>
      <t>All footnotes for this table are given at the end of the table on sheet 6.</t>
    </r>
  </si>
  <si>
    <t>Tokelau HFCs (kt CO2-e)</t>
  </si>
  <si>
    <t>Source Tokelau data https://environment.govt.nz/publications/new-zealands-greenhouse-gas-inventory-1990-2019/ Sheet: "Time series emissions data by category, retrieved 5 May 2021</t>
  </si>
  <si>
    <t>Error checks</t>
  </si>
  <si>
    <t>Flags here only check for compatibility with existing AR4 inventory data. Will be red flags when other GWP used.</t>
  </si>
  <si>
    <t>Exact matches</t>
  </si>
  <si>
    <t>Within rounding differences</t>
  </si>
  <si>
    <t>Error threshold (kt CO2-e pa, per category)</t>
  </si>
  <si>
    <t>Total HFCs (kt CO2-e)</t>
  </si>
  <si>
    <t>Sum PFCs here</t>
  </si>
  <si>
    <t>Calculated total HFCs including Tokelau</t>
  </si>
  <si>
    <t>CRF total HFC data</t>
  </si>
  <si>
    <t>HFC exact check</t>
  </si>
  <si>
    <t>HFC difference</t>
  </si>
  <si>
    <t>HFC error check</t>
  </si>
  <si>
    <t>PFC exact check</t>
  </si>
  <si>
    <t>PFC difference</t>
  </si>
  <si>
    <t>PFC error check</t>
  </si>
  <si>
    <t>SF6 exact check</t>
  </si>
  <si>
    <t>SF6 difference</t>
  </si>
  <si>
    <t>SF6 error check</t>
  </si>
  <si>
    <t>Selected</t>
  </si>
  <si>
    <t>Noting that AR4 said the GWP was "&gt;7500"</t>
  </si>
  <si>
    <t>CO2 equivalent kt</t>
  </si>
  <si>
    <r>
      <t>SF</t>
    </r>
    <r>
      <rPr>
        <b/>
        <vertAlign val="subscript"/>
        <sz val="11"/>
        <rFont val="Calibri"/>
        <family val="2"/>
        <scheme val="minor"/>
      </rPr>
      <t>6</t>
    </r>
  </si>
  <si>
    <t>In GWP</t>
  </si>
  <si>
    <t>GWP selected</t>
  </si>
  <si>
    <t>Table 10s5</t>
  </si>
  <si>
    <t>Emissions of fluorinated gases broken down by individual gas by year 1990 - 2019. Copy drawn from the New Zealand Greenhouse Gas Inventory 1990-2019 CRF tables. Used to convert HFC and PFC emissions to use alternate GWPs.</t>
  </si>
  <si>
    <t>Source:</t>
  </si>
  <si>
    <t>F-gas GWPs</t>
  </si>
  <si>
    <t>Teal tabs are to allow fluorinated gas emissions to be represented using alternate GWPs (AR5). This is optional functionality not needed if all calculations are done using AR4 values</t>
  </si>
  <si>
    <t>Full list of GWP values for different gases drawn from the IPCC's Fifth Assessment Report</t>
  </si>
  <si>
    <t>F-gas conversion</t>
  </si>
  <si>
    <t>Calculation tab converting emissions by gas into CO2-e using the selected GWP</t>
  </si>
  <si>
    <t>F-gas conversion outputs</t>
  </si>
  <si>
    <t>Outputs a time series of emissions for HFCs, PFCs and SF6 using the selected GWP for 1990-2019</t>
  </si>
  <si>
    <t>https://www.ghgprotocol.org/sites/default/files/ghgp/Global-Warming-Potential-Values%20%28Feb%2016%202016%29_1.pdf</t>
  </si>
  <si>
    <t>Current Policy Reference</t>
  </si>
  <si>
    <t>Gross, demonstration path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</si>
</sst>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44" formatCode="_-&quot;$&quot;* #,##0.00_-;\-&quot;$&quot;* #,##0.00_-;_-&quot;$&quot;* &quot;-&quot;??_-;_-@_-"/>
    <numFmt numFmtId="43" formatCode="_-* #,##0.00_-;\-* #,##0.00_-;_-* &quot;-&quot;??_-;_-@_-"/>
    <numFmt numFmtId="164" formatCode="#,##0.00000"/>
    <numFmt numFmtId="165" formatCode="_-* #,##0.00\ _F_-;\-* #,##0.00\ _F_-;_-* &quot;-&quot;??\ _F_-;_-@_-"/>
    <numFmt numFmtId="166" formatCode="#,##0.0000"/>
    <numFmt numFmtId="167" formatCode="#,##0.000"/>
    <numFmt numFmtId="168" formatCode="0.0"/>
    <numFmt numFmtId="169" formatCode="#,##0.0_ ;\-#,##0.0\ "/>
    <numFmt numFmtId="170" formatCode="#,##0_ ;\-#,##0\ "/>
    <numFmt numFmtId="171" formatCode="0.0%"/>
    <numFmt numFmtId="172" formatCode="#,##0.0"/>
    <numFmt numFmtId="173" formatCode="0.0000000000000%"/>
    <numFmt numFmtId="174" formatCode="0.0000"/>
    <numFmt numFmtId="175" formatCode="0.0000000000000000"/>
    <numFmt numFmtId="176" formatCode="0.000000000000000000"/>
    <numFmt numFmtId="177" formatCode="0.000000000"/>
    <numFmt numFmtId="178" formatCode="0.00000000000000000000000000E+00"/>
    <numFmt numFmtId="179" formatCode="#,##0.0000000000000"/>
  </numFmts>
  <fonts count="82" x14ac:knownFonts="1">
    <font>
      <sz val="11"/>
      <color theme="1"/>
      <name val="Calibri"/>
      <family val="2"/>
      <scheme val="minor"/>
    </font>
    <font>
      <sz val="11"/>
      <color rgb="FFFF0000"/>
      <name val="Calibri"/>
      <family val="2"/>
      <scheme val="minor"/>
    </font>
    <font>
      <b/>
      <sz val="11"/>
      <color theme="1"/>
      <name val="Calibri"/>
      <family val="2"/>
      <scheme val="minor"/>
    </font>
    <font>
      <vertAlign val="subscript"/>
      <sz val="11"/>
      <color theme="1"/>
      <name val="Calibri"/>
      <family val="2"/>
      <scheme val="minor"/>
    </font>
    <font>
      <sz val="11"/>
      <color theme="1"/>
      <name val="Calibri"/>
      <family val="2"/>
      <scheme val="minor"/>
    </font>
    <font>
      <sz val="11"/>
      <color rgb="FF3F3F76"/>
      <name val="Calibri"/>
      <family val="2"/>
      <scheme val="minor"/>
    </font>
    <font>
      <b/>
      <sz val="12"/>
      <name val="Times New Roman"/>
      <family val="1"/>
    </font>
    <font>
      <sz val="9"/>
      <color indexed="8"/>
      <name val="Times New Roman"/>
      <family val="1"/>
    </font>
    <font>
      <sz val="10"/>
      <name val="Arial"/>
      <family val="2"/>
    </font>
    <font>
      <b/>
      <sz val="9"/>
      <name val="Times New Roman"/>
      <family val="1"/>
    </font>
    <font>
      <sz val="9"/>
      <name val="Times New Roman"/>
      <family val="1"/>
    </font>
    <font>
      <b/>
      <sz val="12"/>
      <color indexed="8"/>
      <name val="Times New Roman"/>
      <family val="1"/>
    </font>
    <font>
      <sz val="12"/>
      <color indexed="8"/>
      <name val="Times New Roman"/>
      <family val="1"/>
    </font>
    <font>
      <sz val="11"/>
      <color indexed="8"/>
      <name val="Calibri"/>
      <family val="2"/>
    </font>
    <font>
      <b/>
      <sz val="10"/>
      <name val="Arial"/>
      <family val="2"/>
    </font>
    <font>
      <sz val="11"/>
      <color indexed="8"/>
      <name val="Calibri"/>
      <family val="2"/>
      <charset val="186"/>
    </font>
    <font>
      <sz val="11"/>
      <color indexed="9"/>
      <name val="Calibri"/>
      <family val="2"/>
    </font>
    <font>
      <sz val="11"/>
      <color indexed="9"/>
      <name val="Calibri"/>
      <family val="2"/>
      <charset val="186"/>
    </font>
    <font>
      <b/>
      <sz val="11"/>
      <color indexed="63"/>
      <name val="Calibri"/>
      <family val="2"/>
    </font>
    <font>
      <sz val="11"/>
      <color indexed="20"/>
      <name val="Calibri"/>
      <family val="2"/>
      <charset val="186"/>
    </font>
    <font>
      <b/>
      <sz val="11"/>
      <color indexed="52"/>
      <name val="Calibri"/>
      <family val="2"/>
    </font>
    <font>
      <b/>
      <sz val="11"/>
      <color indexed="52"/>
      <name val="Calibri"/>
      <family val="2"/>
      <charset val="186"/>
    </font>
    <font>
      <b/>
      <sz val="11"/>
      <color indexed="9"/>
      <name val="Calibri"/>
      <family val="2"/>
      <charset val="186"/>
    </font>
    <font>
      <sz val="8"/>
      <name val="Helvetica"/>
    </font>
    <font>
      <sz val="11"/>
      <color indexed="62"/>
      <name val="Calibri"/>
      <family val="2"/>
    </font>
    <font>
      <b/>
      <sz val="11"/>
      <color indexed="8"/>
      <name val="Calibri"/>
      <family val="2"/>
    </font>
    <font>
      <i/>
      <sz val="11"/>
      <color indexed="23"/>
      <name val="Calibri"/>
      <family val="2"/>
    </font>
    <font>
      <i/>
      <sz val="11"/>
      <color indexed="23"/>
      <name val="Calibri"/>
      <family val="2"/>
      <charset val="186"/>
    </font>
    <font>
      <sz val="11"/>
      <color indexed="17"/>
      <name val="Calibri"/>
      <family val="2"/>
      <charset val="186"/>
    </font>
    <font>
      <sz val="11"/>
      <color indexed="17"/>
      <name val="Calibri"/>
      <family val="2"/>
    </font>
    <font>
      <b/>
      <sz val="15"/>
      <color indexed="56"/>
      <name val="Calibri"/>
      <family val="2"/>
      <charset val="186"/>
    </font>
    <font>
      <b/>
      <sz val="13"/>
      <color indexed="56"/>
      <name val="Calibri"/>
      <family val="2"/>
      <charset val="186"/>
    </font>
    <font>
      <b/>
      <sz val="11"/>
      <color indexed="56"/>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10"/>
      <name val="Arial"/>
      <family val="2"/>
      <charset val="186"/>
    </font>
    <font>
      <b/>
      <sz val="11"/>
      <color indexed="63"/>
      <name val="Calibri"/>
      <family val="2"/>
      <charset val="186"/>
    </font>
    <font>
      <sz val="11"/>
      <color indexed="20"/>
      <name val="Calibri"/>
      <family val="2"/>
    </font>
    <font>
      <b/>
      <sz val="18"/>
      <color indexed="56"/>
      <name val="Cambria"/>
      <family val="2"/>
      <charset val="186"/>
    </font>
    <font>
      <b/>
      <sz val="11"/>
      <color indexed="8"/>
      <name val="Calibri"/>
      <family val="2"/>
      <charset val="186"/>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1"/>
      <color indexed="10"/>
      <name val="Calibri"/>
      <family val="2"/>
      <charset val="186"/>
    </font>
    <font>
      <b/>
      <sz val="11"/>
      <color indexed="9"/>
      <name val="Calibri"/>
      <family val="2"/>
    </font>
    <font>
      <u/>
      <sz val="10"/>
      <color indexed="12"/>
      <name val="Times New Roman"/>
      <family val="1"/>
    </font>
    <font>
      <u/>
      <sz val="10"/>
      <color indexed="12"/>
      <name val="Times New Roman"/>
      <family val="1"/>
      <charset val="186"/>
    </font>
    <font>
      <sz val="10"/>
      <name val="Arial"/>
      <family val="2"/>
      <charset val="204"/>
    </font>
    <font>
      <b/>
      <sz val="11"/>
      <color indexed="12"/>
      <name val="Arial"/>
      <family val="2"/>
      <charset val="204"/>
    </font>
    <font>
      <sz val="8"/>
      <name val="Helvetica"/>
      <family val="2"/>
    </font>
    <font>
      <sz val="11"/>
      <color indexed="8"/>
      <name val="Calibri"/>
      <family val="2"/>
      <scheme val="minor"/>
    </font>
    <font>
      <b/>
      <vertAlign val="subscript"/>
      <sz val="9"/>
      <name val="Times New Roman"/>
      <family val="1"/>
    </font>
    <font>
      <sz val="11"/>
      <name val="Calibri"/>
      <family val="2"/>
      <scheme val="minor"/>
    </font>
    <font>
      <i/>
      <sz val="11"/>
      <color theme="1"/>
      <name val="Calibri"/>
      <family val="2"/>
      <scheme val="minor"/>
    </font>
    <font>
      <u/>
      <sz val="11"/>
      <color theme="10"/>
      <name val="Calibri"/>
      <family val="2"/>
      <scheme val="minor"/>
    </font>
    <font>
      <b/>
      <vertAlign val="subscript"/>
      <sz val="8.5"/>
      <color theme="1"/>
      <name val="Calibri"/>
      <family val="2"/>
      <scheme val="minor"/>
    </font>
    <font>
      <b/>
      <sz val="16"/>
      <color theme="1"/>
      <name val="Calibri"/>
      <family val="2"/>
      <scheme val="minor"/>
    </font>
    <font>
      <b/>
      <u/>
      <sz val="11"/>
      <color theme="1"/>
      <name val="Calibri"/>
      <family val="2"/>
      <scheme val="minor"/>
    </font>
    <font>
      <b/>
      <sz val="9"/>
      <color indexed="81"/>
      <name val="Tahoma"/>
      <family val="2"/>
    </font>
    <font>
      <sz val="9"/>
      <color indexed="81"/>
      <name val="Tahoma"/>
      <family val="2"/>
    </font>
    <font>
      <sz val="11"/>
      <color rgb="FF000000"/>
      <name val="Calibri"/>
      <family val="2"/>
      <scheme val="minor"/>
    </font>
    <font>
      <b/>
      <vertAlign val="subscript"/>
      <sz val="11"/>
      <color theme="1"/>
      <name val="Calibri"/>
      <family val="2"/>
      <scheme val="minor"/>
    </font>
    <font>
      <sz val="10"/>
      <color rgb="FF000000"/>
      <name val="Calibri"/>
      <family val="2"/>
      <scheme val="minor"/>
    </font>
    <font>
      <sz val="11"/>
      <color theme="0"/>
      <name val="Calibri"/>
      <family val="2"/>
      <scheme val="minor"/>
    </font>
    <font>
      <b/>
      <sz val="11"/>
      <color rgb="FFFFFFFF"/>
      <name val="Calibri Light"/>
      <family val="2"/>
    </font>
    <font>
      <i/>
      <sz val="10"/>
      <color rgb="FF000000"/>
      <name val="Calibri Light"/>
      <family val="2"/>
    </font>
    <font>
      <b/>
      <sz val="14"/>
      <color theme="1"/>
      <name val="Calibri"/>
      <family val="2"/>
      <scheme val="minor"/>
    </font>
    <font>
      <i/>
      <sz val="11"/>
      <name val="Calibri"/>
      <family val="2"/>
      <scheme val="minor"/>
    </font>
    <font>
      <b/>
      <sz val="11"/>
      <name val="Calibri"/>
      <family val="2"/>
      <scheme val="minor"/>
    </font>
    <font>
      <sz val="11"/>
      <color rgb="FFC00000"/>
      <name val="Calibri"/>
      <family val="2"/>
      <scheme val="minor"/>
    </font>
    <font>
      <sz val="10"/>
      <color theme="1"/>
      <name val="Calibri"/>
      <family val="2"/>
      <scheme val="minor"/>
    </font>
    <font>
      <vertAlign val="superscript"/>
      <sz val="10"/>
      <color theme="1"/>
      <name val="Calibri"/>
      <family val="2"/>
      <scheme val="minor"/>
    </font>
    <font>
      <i/>
      <sz val="10"/>
      <color theme="1"/>
      <name val="Calibri"/>
      <family val="2"/>
      <scheme val="minor"/>
    </font>
    <font>
      <b/>
      <vertAlign val="subscript"/>
      <sz val="12"/>
      <name val="Times New Roman"/>
      <family val="1"/>
    </font>
    <font>
      <b/>
      <vertAlign val="superscript"/>
      <sz val="9"/>
      <name val="Times New Roman"/>
      <family val="1"/>
    </font>
    <font>
      <vertAlign val="superscript"/>
      <sz val="9"/>
      <name val="Times New Roman"/>
      <family val="1"/>
    </font>
    <font>
      <vertAlign val="subscript"/>
      <sz val="9"/>
      <name val="Times New Roman"/>
      <family val="1"/>
    </font>
    <font>
      <b/>
      <vertAlign val="subscript"/>
      <sz val="11"/>
      <name val="Calibri"/>
      <family val="2"/>
      <scheme val="minor"/>
    </font>
  </fonts>
  <fills count="46">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CC99"/>
      </patternFill>
    </fill>
    <fill>
      <patternFill patternType="solid">
        <fgColor indexed="42"/>
        <bgColor indexed="64"/>
      </patternFill>
    </fill>
    <fill>
      <patternFill patternType="solid">
        <fgColor indexed="55"/>
        <bgColor indexed="64"/>
      </patternFill>
    </fill>
    <fill>
      <patternFill patternType="solid">
        <fgColor indexed="47"/>
        <bgColor indexed="64"/>
      </patternFill>
    </fill>
    <fill>
      <patternFill patternType="solid">
        <fgColor indexed="22"/>
        <bgColor indexed="64"/>
      </patternFill>
    </fill>
    <fill>
      <patternFill patternType="solid">
        <fgColor indexed="23"/>
        <bgColor indexed="64"/>
      </patternFill>
    </fill>
    <fill>
      <patternFill patternType="solid">
        <fgColor indexed="2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darkTrellis"/>
    </fill>
    <fill>
      <patternFill patternType="solid">
        <fgColor rgb="FFCCFFFF"/>
      </patternFill>
    </fill>
    <fill>
      <patternFill patternType="solid">
        <fgColor theme="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FFC000"/>
        <bgColor indexed="64"/>
      </patternFill>
    </fill>
    <fill>
      <patternFill patternType="solid">
        <fgColor theme="6"/>
        <bgColor indexed="64"/>
      </patternFill>
    </fill>
    <fill>
      <patternFill patternType="solid">
        <fgColor rgb="FF00ACD3"/>
        <bgColor indexed="64"/>
      </patternFill>
    </fill>
    <fill>
      <patternFill patternType="solid">
        <fgColor rgb="FF5BC4BE"/>
        <bgColor indexed="64"/>
      </patternFill>
    </fill>
    <fill>
      <patternFill patternType="solid">
        <fgColor indexed="9"/>
        <bgColor indexed="64"/>
      </patternFill>
    </fill>
    <fill>
      <patternFill patternType="solid">
        <fgColor rgb="FFFFFFFF"/>
      </patternFill>
    </fill>
  </fills>
  <borders count="54">
    <border>
      <left/>
      <right/>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indexed="64"/>
      </left>
      <right/>
      <top/>
      <bottom style="thin">
        <color indexed="64"/>
      </bottom>
      <diagonal/>
    </border>
    <border>
      <left style="thin">
        <color theme="0" tint="-0.24994659260841701"/>
      </left>
      <right/>
      <top/>
      <bottom style="thin">
        <color theme="0" tint="-0.1499679555650502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thick">
        <color indexed="64"/>
      </bottom>
      <diagonal/>
    </border>
    <border>
      <left/>
      <right style="medium">
        <color indexed="64"/>
      </right>
      <top/>
      <bottom style="thick">
        <color indexed="64"/>
      </bottom>
      <diagonal/>
    </border>
    <border>
      <left style="medium">
        <color indexed="64"/>
      </left>
      <right style="medium">
        <color indexed="64"/>
      </right>
      <top style="thick">
        <color indexed="64"/>
      </top>
      <bottom/>
      <diagonal/>
    </border>
    <border>
      <left/>
      <right style="medium">
        <color indexed="64"/>
      </right>
      <top style="medium">
        <color indexed="64"/>
      </top>
      <bottom style="thick">
        <color rgb="FF666666"/>
      </bottom>
      <diagonal/>
    </border>
    <border>
      <left style="medium">
        <color indexed="64"/>
      </left>
      <right/>
      <top style="medium">
        <color indexed="64"/>
      </top>
      <bottom style="thick">
        <color rgb="FF666666"/>
      </bottom>
      <diagonal/>
    </border>
    <border>
      <left/>
      <right/>
      <top style="thick">
        <color indexed="64"/>
      </top>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bottom style="medium">
        <color rgb="FFFFFFFF"/>
      </bottom>
      <diagonal/>
    </border>
    <border>
      <left style="medium">
        <color indexed="64"/>
      </left>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auto="1"/>
      </left>
      <right/>
      <top/>
      <bottom/>
      <diagonal/>
    </border>
  </borders>
  <cellStyleXfs count="1559">
    <xf numFmtId="0" fontId="0" fillId="0" borderId="0"/>
    <xf numFmtId="0" fontId="1" fillId="0" borderId="0" applyNumberFormat="0" applyFill="0" applyBorder="0" applyAlignment="0" applyProtection="0"/>
    <xf numFmtId="0" fontId="4" fillId="0" borderId="0"/>
    <xf numFmtId="0" fontId="4" fillId="0" borderId="0"/>
    <xf numFmtId="0" fontId="6" fillId="0" borderId="0" applyNumberFormat="0" applyFill="0" applyBorder="0" applyAlignment="0" applyProtection="0"/>
    <xf numFmtId="0" fontId="7" fillId="0" borderId="0" applyNumberFormat="0">
      <alignment horizontal="right"/>
    </xf>
    <xf numFmtId="0" fontId="8" fillId="0" borderId="0"/>
    <xf numFmtId="0" fontId="9" fillId="0" borderId="0" applyNumberFormat="0" applyFill="0" applyBorder="0" applyProtection="0">
      <alignment horizontal="left" vertical="center"/>
    </xf>
    <xf numFmtId="0" fontId="10" fillId="6" borderId="0" applyBorder="0">
      <alignment horizontal="right" vertical="center"/>
    </xf>
    <xf numFmtId="0" fontId="10" fillId="6" borderId="3">
      <alignment horizontal="right" vertical="center"/>
    </xf>
    <xf numFmtId="0" fontId="8" fillId="0" borderId="0" applyNumberFormat="0" applyFont="0" applyFill="0" applyBorder="0" applyProtection="0">
      <alignment horizontal="left" vertical="center" indent="2"/>
    </xf>
    <xf numFmtId="0" fontId="10" fillId="6" borderId="0" applyBorder="0">
      <alignment horizontal="right" vertical="center"/>
    </xf>
    <xf numFmtId="0" fontId="10" fillId="0" borderId="0" applyBorder="0">
      <alignment horizontal="right" vertical="center"/>
    </xf>
    <xf numFmtId="0" fontId="8" fillId="7" borderId="0" applyNumberFormat="0" applyFont="0" applyBorder="0" applyAlignment="0" applyProtection="0"/>
    <xf numFmtId="0" fontId="8" fillId="0" borderId="0" applyNumberFormat="0" applyFont="0" applyFill="0" applyBorder="0" applyProtection="0">
      <alignment horizontal="left" vertical="center" indent="5"/>
    </xf>
    <xf numFmtId="0" fontId="10" fillId="0" borderId="7" applyNumberFormat="0" applyFill="0" applyAlignment="0" applyProtection="0"/>
    <xf numFmtId="0" fontId="7" fillId="0" borderId="10">
      <alignment horizontal="left" vertical="top" wrapText="1"/>
    </xf>
    <xf numFmtId="0" fontId="7" fillId="8" borderId="7">
      <alignment horizontal="right" vertical="center"/>
    </xf>
    <xf numFmtId="0" fontId="7" fillId="8" borderId="7">
      <alignment horizontal="right" vertical="center"/>
    </xf>
    <xf numFmtId="0" fontId="10" fillId="0" borderId="12">
      <alignment horizontal="left" vertical="center" wrapText="1" indent="2"/>
    </xf>
    <xf numFmtId="0" fontId="7" fillId="8" borderId="8">
      <alignment horizontal="right" vertical="center"/>
    </xf>
    <xf numFmtId="0" fontId="10" fillId="0" borderId="7">
      <alignment horizontal="right" vertical="center"/>
    </xf>
    <xf numFmtId="0" fontId="8" fillId="0" borderId="11"/>
    <xf numFmtId="0" fontId="12" fillId="6" borderId="7">
      <alignment horizontal="right" vertical="center"/>
    </xf>
    <xf numFmtId="0" fontId="10" fillId="7" borderId="7"/>
    <xf numFmtId="0" fontId="7" fillId="6" borderId="7">
      <alignment horizontal="right" vertical="center"/>
    </xf>
    <xf numFmtId="0" fontId="7" fillId="6" borderId="4">
      <alignment horizontal="right" vertical="center"/>
    </xf>
    <xf numFmtId="0" fontId="10" fillId="0" borderId="4">
      <alignment horizontal="right" vertical="center"/>
    </xf>
    <xf numFmtId="4" fontId="8" fillId="0" borderId="0"/>
    <xf numFmtId="0" fontId="7" fillId="8" borderId="9">
      <alignment horizontal="right" vertical="center"/>
    </xf>
    <xf numFmtId="0" fontId="7" fillId="8" borderId="4">
      <alignment horizontal="right" vertical="center"/>
    </xf>
    <xf numFmtId="0" fontId="7" fillId="8" borderId="6">
      <alignment horizontal="right" vertical="center"/>
    </xf>
    <xf numFmtId="4" fontId="7" fillId="8" borderId="8">
      <alignment horizontal="right" vertical="center"/>
    </xf>
    <xf numFmtId="0" fontId="10" fillId="0" borderId="0"/>
    <xf numFmtId="0" fontId="10" fillId="11" borderId="7">
      <alignment horizontal="right" vertical="center"/>
    </xf>
    <xf numFmtId="0" fontId="10" fillId="11" borderId="0" applyBorder="0">
      <alignment horizontal="right" vertical="center"/>
    </xf>
    <xf numFmtId="0" fontId="8" fillId="0" borderId="0"/>
    <xf numFmtId="0" fontId="14" fillId="0" borderId="0" applyNumberFormat="0" applyFill="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8" fillId="0" borderId="0" applyNumberFormat="0" applyFont="0" applyFill="0" applyBorder="0" applyProtection="0">
      <alignment horizontal="left" vertical="center" indent="2"/>
    </xf>
    <xf numFmtId="0" fontId="8" fillId="0" borderId="0" applyNumberFormat="0" applyFont="0" applyFill="0" applyBorder="0" applyProtection="0">
      <alignment horizontal="left" vertical="center" indent="2"/>
    </xf>
    <xf numFmtId="49" fontId="10" fillId="0" borderId="7" applyNumberFormat="0" applyFont="0" applyFill="0" applyBorder="0" applyProtection="0">
      <alignment horizontal="left" vertical="center" indent="2"/>
    </xf>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15" borderId="0" applyNumberFormat="0" applyBorder="0" applyAlignment="0" applyProtection="0"/>
    <xf numFmtId="0" fontId="13" fillId="18" borderId="0" applyNumberFormat="0" applyBorder="0" applyAlignment="0" applyProtection="0"/>
    <xf numFmtId="0" fontId="13" fillId="21"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15"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8" fillId="0" borderId="0" applyNumberFormat="0" applyFont="0" applyFill="0" applyBorder="0" applyProtection="0">
      <alignment horizontal="left" vertical="center" indent="5"/>
    </xf>
    <xf numFmtId="0" fontId="8" fillId="0" borderId="0" applyNumberFormat="0" applyFont="0" applyFill="0" applyBorder="0" applyProtection="0">
      <alignment horizontal="left" vertical="center" indent="5"/>
    </xf>
    <xf numFmtId="49" fontId="10" fillId="0" borderId="6" applyNumberFormat="0" applyFont="0" applyFill="0" applyBorder="0" applyProtection="0">
      <alignment horizontal="left" vertical="center" indent="5"/>
    </xf>
    <xf numFmtId="0" fontId="16" fillId="22"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7" fillId="22"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9" borderId="0" applyNumberFormat="0" applyBorder="0" applyAlignment="0" applyProtection="0"/>
    <xf numFmtId="0" fontId="9" fillId="11" borderId="0" applyBorder="0" applyAlignment="0"/>
    <xf numFmtId="4" fontId="9" fillId="11" borderId="0" applyBorder="0" applyAlignment="0"/>
    <xf numFmtId="4" fontId="10" fillId="11" borderId="0" applyBorder="0">
      <alignment horizontal="right" vertical="center"/>
    </xf>
    <xf numFmtId="4" fontId="10" fillId="6" borderId="0" applyBorder="0">
      <alignment horizontal="right" vertical="center"/>
    </xf>
    <xf numFmtId="4" fontId="10" fillId="6" borderId="0" applyBorder="0">
      <alignment horizontal="right" vertical="center"/>
    </xf>
    <xf numFmtId="4" fontId="7" fillId="6" borderId="7">
      <alignment horizontal="right" vertical="center"/>
    </xf>
    <xf numFmtId="4" fontId="12" fillId="6" borderId="7">
      <alignment horizontal="right" vertical="center"/>
    </xf>
    <xf numFmtId="4" fontId="7" fillId="8" borderId="7">
      <alignment horizontal="right" vertical="center"/>
    </xf>
    <xf numFmtId="4" fontId="7" fillId="8" borderId="7">
      <alignment horizontal="right" vertical="center"/>
    </xf>
    <xf numFmtId="4" fontId="7" fillId="8" borderId="6">
      <alignment horizontal="right" vertical="center"/>
    </xf>
    <xf numFmtId="4" fontId="7" fillId="8" borderId="8">
      <alignment horizontal="right" vertical="center"/>
    </xf>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9" borderId="0" applyNumberFormat="0" applyBorder="0" applyAlignment="0" applyProtection="0"/>
    <xf numFmtId="0" fontId="18" fillId="30" borderId="13" applyNumberFormat="0" applyAlignment="0" applyProtection="0"/>
    <xf numFmtId="0" fontId="19" fillId="13" borderId="0" applyNumberFormat="0" applyBorder="0" applyAlignment="0" applyProtection="0"/>
    <xf numFmtId="0" fontId="20" fillId="30" borderId="14" applyNumberFormat="0" applyAlignment="0" applyProtection="0"/>
    <xf numFmtId="4" fontId="9" fillId="0" borderId="5" applyFill="0" applyBorder="0" applyProtection="0">
      <alignment horizontal="right" vertical="center"/>
    </xf>
    <xf numFmtId="0" fontId="21" fillId="30" borderId="14" applyNumberFormat="0" applyAlignment="0" applyProtection="0"/>
    <xf numFmtId="0" fontId="22" fillId="31" borderId="15" applyNumberFormat="0" applyAlignment="0" applyProtection="0"/>
    <xf numFmtId="43" fontId="13" fillId="0" borderId="0" applyFont="0" applyFill="0" applyBorder="0" applyAlignment="0" applyProtection="0"/>
    <xf numFmtId="165" fontId="23" fillId="0" borderId="0" applyFont="0" applyFill="0" applyBorder="0" applyAlignment="0" applyProtection="0"/>
    <xf numFmtId="43" fontId="13" fillId="0" borderId="0" applyFont="0" applyFill="0" applyBorder="0" applyAlignment="0" applyProtection="0"/>
    <xf numFmtId="0" fontId="10" fillId="8" borderId="12">
      <alignment horizontal="left" vertical="center" wrapText="1" indent="2"/>
    </xf>
    <xf numFmtId="0" fontId="10" fillId="6" borderId="6">
      <alignment horizontal="left" vertical="center"/>
    </xf>
    <xf numFmtId="0" fontId="24" fillId="17" borderId="14" applyNumberFormat="0" applyAlignment="0" applyProtection="0"/>
    <xf numFmtId="0" fontId="25" fillId="0" borderId="16" applyNumberFormat="0" applyFill="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14" borderId="0" applyNumberFormat="0" applyBorder="0" applyAlignment="0" applyProtection="0"/>
    <xf numFmtId="0" fontId="29" fillId="14" borderId="0" applyNumberFormat="0" applyBorder="0" applyAlignment="0" applyProtection="0"/>
    <xf numFmtId="0" fontId="30" fillId="0" borderId="17" applyNumberFormat="0" applyFill="0" applyAlignment="0" applyProtection="0"/>
    <xf numFmtId="0" fontId="31" fillId="0" borderId="18" applyNumberFormat="0" applyFill="0" applyAlignment="0" applyProtection="0"/>
    <xf numFmtId="0" fontId="32" fillId="0" borderId="19" applyNumberFormat="0" applyFill="0" applyAlignment="0" applyProtection="0"/>
    <xf numFmtId="0" fontId="32" fillId="0" borderId="0" applyNumberFormat="0" applyFill="0" applyBorder="0" applyAlignment="0" applyProtection="0"/>
    <xf numFmtId="0" fontId="33" fillId="17" borderId="14" applyNumberFormat="0" applyAlignment="0" applyProtection="0"/>
    <xf numFmtId="4" fontId="10" fillId="0" borderId="0" applyBorder="0">
      <alignment horizontal="right" vertical="center"/>
    </xf>
    <xf numFmtId="0" fontId="10" fillId="0" borderId="1">
      <alignment horizontal="right" vertical="center"/>
    </xf>
    <xf numFmtId="4" fontId="10" fillId="0" borderId="7">
      <alignment horizontal="right" vertical="center"/>
    </xf>
    <xf numFmtId="1" fontId="11" fillId="6" borderId="0" applyBorder="0">
      <alignment horizontal="right" vertical="center"/>
    </xf>
    <xf numFmtId="0" fontId="8" fillId="10" borderId="7"/>
    <xf numFmtId="0" fontId="34" fillId="0" borderId="20" applyNumberFormat="0" applyFill="0" applyAlignment="0" applyProtection="0"/>
    <xf numFmtId="0" fontId="35" fillId="32" borderId="0" applyNumberFormat="0" applyBorder="0" applyAlignment="0" applyProtection="0"/>
    <xf numFmtId="0" fontId="8" fillId="0" borderId="0"/>
    <xf numFmtId="0" fontId="8" fillId="0" borderId="0"/>
    <xf numFmtId="0" fontId="8" fillId="0" borderId="0"/>
    <xf numFmtId="0" fontId="8" fillId="0" borderId="0"/>
    <xf numFmtId="0" fontId="23" fillId="0" borderId="0"/>
    <xf numFmtId="4" fontId="8" fillId="0" borderId="0"/>
    <xf numFmtId="4" fontId="36" fillId="0" borderId="0"/>
    <xf numFmtId="0" fontId="8" fillId="0" borderId="0"/>
    <xf numFmtId="0" fontId="8" fillId="0" borderId="0"/>
    <xf numFmtId="0" fontId="8" fillId="0" borderId="0"/>
    <xf numFmtId="0" fontId="8" fillId="0" borderId="0"/>
    <xf numFmtId="0" fontId="4" fillId="0" borderId="0"/>
    <xf numFmtId="4" fontId="10" fillId="0" borderId="0" applyFill="0" applyBorder="0" applyProtection="0">
      <alignment horizontal="right" vertical="center"/>
    </xf>
    <xf numFmtId="4" fontId="10" fillId="0" borderId="0" applyFill="0" applyBorder="0" applyProtection="0">
      <alignment horizontal="right" vertical="center"/>
    </xf>
    <xf numFmtId="4" fontId="10" fillId="0" borderId="7" applyFill="0" applyBorder="0" applyProtection="0">
      <alignment horizontal="right" vertical="center"/>
    </xf>
    <xf numFmtId="0" fontId="9" fillId="0" borderId="0" applyNumberFormat="0" applyFill="0" applyBorder="0" applyProtection="0">
      <alignment horizontal="left" vertical="center"/>
    </xf>
    <xf numFmtId="49" fontId="9" fillId="0" borderId="7" applyNumberFormat="0" applyFill="0" applyBorder="0" applyProtection="0">
      <alignment horizontal="left" vertical="center"/>
    </xf>
    <xf numFmtId="0" fontId="8" fillId="7" borderId="0" applyNumberFormat="0" applyFont="0" applyBorder="0" applyAlignment="0" applyProtection="0"/>
    <xf numFmtId="4" fontId="8" fillId="7" borderId="0" applyNumberFormat="0" applyFont="0" applyBorder="0" applyAlignment="0" applyProtection="0"/>
    <xf numFmtId="4" fontId="8" fillId="7" borderId="0" applyNumberFormat="0" applyFont="0" applyBorder="0" applyAlignment="0" applyProtection="0"/>
    <xf numFmtId="0" fontId="8" fillId="7" borderId="0" applyNumberFormat="0" applyFont="0" applyBorder="0" applyAlignment="0" applyProtection="0"/>
    <xf numFmtId="0" fontId="8" fillId="7" borderId="0" applyNumberFormat="0" applyFont="0" applyBorder="0" applyAlignment="0" applyProtection="0"/>
    <xf numFmtId="0" fontId="23" fillId="9" borderId="0" applyNumberFormat="0" applyFont="0" applyBorder="0" applyAlignment="0" applyProtection="0"/>
    <xf numFmtId="0" fontId="15" fillId="33" borderId="21" applyNumberFormat="0" applyFont="0" applyAlignment="0" applyProtection="0"/>
    <xf numFmtId="0" fontId="8" fillId="33" borderId="21" applyNumberFormat="0" applyFont="0" applyAlignment="0" applyProtection="0"/>
    <xf numFmtId="0" fontId="37" fillId="30" borderId="13" applyNumberFormat="0" applyAlignment="0" applyProtection="0"/>
    <xf numFmtId="166" fontId="10" fillId="34" borderId="7" applyNumberFormat="0" applyFont="0" applyBorder="0" applyAlignment="0" applyProtection="0">
      <alignment horizontal="right" vertical="center"/>
    </xf>
    <xf numFmtId="9" fontId="23" fillId="0" borderId="0" applyFont="0" applyFill="0" applyBorder="0" applyAlignment="0" applyProtection="0"/>
    <xf numFmtId="0" fontId="38" fillId="13" borderId="0" applyNumberFormat="0" applyBorder="0" applyAlignment="0" applyProtection="0"/>
    <xf numFmtId="4" fontId="10" fillId="7" borderId="7"/>
    <xf numFmtId="0" fontId="10" fillId="7" borderId="4"/>
    <xf numFmtId="0" fontId="39" fillId="0" borderId="0" applyNumberFormat="0" applyFill="0" applyBorder="0" applyAlignment="0" applyProtection="0"/>
    <xf numFmtId="0" fontId="40" fillId="0" borderId="16" applyNumberFormat="0" applyFill="0" applyAlignment="0" applyProtection="0"/>
    <xf numFmtId="0" fontId="41" fillId="0" borderId="0" applyNumberFormat="0" applyFill="0" applyBorder="0" applyAlignment="0" applyProtection="0"/>
    <xf numFmtId="0" fontId="42" fillId="0" borderId="17" applyNumberFormat="0" applyFill="0" applyAlignment="0" applyProtection="0"/>
    <xf numFmtId="0" fontId="43" fillId="0" borderId="18" applyNumberFormat="0" applyFill="0" applyAlignment="0" applyProtection="0"/>
    <xf numFmtId="0" fontId="44" fillId="0" borderId="19" applyNumberFormat="0" applyFill="0" applyAlignment="0" applyProtection="0"/>
    <xf numFmtId="0" fontId="44" fillId="0" borderId="0" applyNumberFormat="0" applyFill="0" applyBorder="0" applyAlignment="0" applyProtection="0"/>
    <xf numFmtId="0" fontId="45" fillId="0" borderId="20"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31" borderId="15" applyNumberFormat="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10" fillId="0" borderId="0"/>
    <xf numFmtId="0" fontId="8" fillId="0" borderId="0" applyNumberFormat="0" applyFont="0" applyFill="0" applyBorder="0" applyProtection="0">
      <alignment horizontal="left" vertical="center"/>
    </xf>
    <xf numFmtId="0" fontId="10" fillId="6" borderId="0" applyBorder="0">
      <alignment horizontal="right" vertical="center"/>
    </xf>
    <xf numFmtId="0" fontId="10" fillId="6" borderId="0" applyBorder="0">
      <alignment horizontal="right" vertical="center"/>
    </xf>
    <xf numFmtId="0" fontId="10" fillId="0" borderId="0" applyBorder="0">
      <alignment horizontal="right" vertical="center"/>
    </xf>
    <xf numFmtId="4" fontId="8" fillId="0" borderId="0"/>
    <xf numFmtId="0" fontId="51" fillId="0" borderId="0"/>
    <xf numFmtId="0" fontId="8" fillId="7" borderId="0" applyNumberFormat="0" applyFont="0" applyBorder="0" applyAlignment="0" applyProtection="0"/>
    <xf numFmtId="0" fontId="49" fillId="0" borderId="0" applyNumberFormat="0" applyFill="0" applyBorder="0" applyAlignment="0" applyProtection="0"/>
    <xf numFmtId="4" fontId="8" fillId="0" borderId="0"/>
    <xf numFmtId="4" fontId="8" fillId="0" borderId="0"/>
    <xf numFmtId="0" fontId="4" fillId="0" borderId="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15"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7" fillId="22"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9" borderId="0" applyNumberFormat="0" applyBorder="0" applyAlignment="0" applyProtection="0"/>
    <xf numFmtId="0" fontId="19" fillId="13" borderId="0" applyNumberFormat="0" applyBorder="0" applyAlignment="0" applyProtection="0"/>
    <xf numFmtId="0" fontId="21" fillId="30" borderId="14" applyNumberFormat="0" applyAlignment="0" applyProtection="0"/>
    <xf numFmtId="0" fontId="22" fillId="31" borderId="15" applyNumberFormat="0" applyAlignment="0" applyProtection="0"/>
    <xf numFmtId="0" fontId="27" fillId="0" borderId="0" applyNumberFormat="0" applyFill="0" applyBorder="0" applyAlignment="0" applyProtection="0"/>
    <xf numFmtId="0" fontId="28" fillId="14" borderId="0" applyNumberFormat="0" applyBorder="0" applyAlignment="0" applyProtection="0"/>
    <xf numFmtId="0" fontId="30" fillId="0" borderId="17" applyNumberFormat="0" applyFill="0" applyAlignment="0" applyProtection="0"/>
    <xf numFmtId="0" fontId="31" fillId="0" borderId="18" applyNumberFormat="0" applyFill="0" applyAlignment="0" applyProtection="0"/>
    <xf numFmtId="0" fontId="32" fillId="0" borderId="19" applyNumberFormat="0" applyFill="0" applyAlignment="0" applyProtection="0"/>
    <xf numFmtId="0" fontId="32" fillId="0" borderId="0" applyNumberFormat="0" applyFill="0" applyBorder="0" applyAlignment="0" applyProtection="0"/>
    <xf numFmtId="0" fontId="33" fillId="17" borderId="14" applyNumberFormat="0" applyAlignment="0" applyProtection="0"/>
    <xf numFmtId="0" fontId="34" fillId="0" borderId="20" applyNumberFormat="0" applyFill="0" applyAlignment="0" applyProtection="0"/>
    <xf numFmtId="0" fontId="35" fillId="32" borderId="0" applyNumberFormat="0" applyBorder="0" applyAlignment="0" applyProtection="0"/>
    <xf numFmtId="0" fontId="8" fillId="0" borderId="0"/>
    <xf numFmtId="0" fontId="15" fillId="33" borderId="21" applyNumberFormat="0" applyFont="0" applyAlignment="0" applyProtection="0"/>
    <xf numFmtId="0" fontId="37" fillId="30" borderId="13" applyNumberFormat="0" applyAlignment="0" applyProtection="0"/>
    <xf numFmtId="0" fontId="39" fillId="0" borderId="0" applyNumberFormat="0" applyFill="0" applyBorder="0" applyAlignment="0" applyProtection="0"/>
    <xf numFmtId="0" fontId="40" fillId="0" borderId="16" applyNumberFormat="0" applyFill="0" applyAlignment="0" applyProtection="0"/>
    <xf numFmtId="0" fontId="47" fillId="0" borderId="0" applyNumberFormat="0" applyFill="0" applyBorder="0" applyAlignment="0" applyProtection="0"/>
    <xf numFmtId="0" fontId="52" fillId="0" borderId="0">
      <alignment horizontal="left" vertical="center" indent="1"/>
    </xf>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15"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7" fillId="22"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7" fillId="6" borderId="22">
      <alignment horizontal="right" vertical="center"/>
    </xf>
    <xf numFmtId="4" fontId="7" fillId="6" borderId="22">
      <alignment horizontal="right" vertical="center"/>
    </xf>
    <xf numFmtId="0" fontId="12" fillId="6" borderId="22">
      <alignment horizontal="right" vertical="center"/>
    </xf>
    <xf numFmtId="4" fontId="12" fillId="6" borderId="22">
      <alignment horizontal="right" vertical="center"/>
    </xf>
    <xf numFmtId="0" fontId="7" fillId="8" borderId="22">
      <alignment horizontal="right" vertical="center"/>
    </xf>
    <xf numFmtId="4" fontId="7" fillId="8" borderId="22">
      <alignment horizontal="right" vertical="center"/>
    </xf>
    <xf numFmtId="0" fontId="7" fillId="8" borderId="22">
      <alignment horizontal="right" vertical="center"/>
    </xf>
    <xf numFmtId="4" fontId="7" fillId="8" borderId="22">
      <alignment horizontal="right" vertical="center"/>
    </xf>
    <xf numFmtId="0" fontId="7" fillId="8" borderId="23">
      <alignment horizontal="right" vertical="center"/>
    </xf>
    <xf numFmtId="4" fontId="7" fillId="8" borderId="23">
      <alignment horizontal="right" vertical="center"/>
    </xf>
    <xf numFmtId="0" fontId="7" fillId="8" borderId="24">
      <alignment horizontal="right" vertical="center"/>
    </xf>
    <xf numFmtId="4" fontId="7" fillId="8" borderId="24">
      <alignment horizontal="right" vertical="center"/>
    </xf>
    <xf numFmtId="0" fontId="21" fillId="30" borderId="14" applyNumberFormat="0" applyAlignment="0" applyProtection="0"/>
    <xf numFmtId="0" fontId="10" fillId="8" borderId="25">
      <alignment horizontal="left" vertical="center" wrapText="1" indent="2"/>
    </xf>
    <xf numFmtId="0" fontId="10" fillId="0" borderId="25">
      <alignment horizontal="left" vertical="center" wrapText="1" indent="2"/>
    </xf>
    <xf numFmtId="0" fontId="10" fillId="6" borderId="23">
      <alignment horizontal="left" vertical="center"/>
    </xf>
    <xf numFmtId="0" fontId="27" fillId="0" borderId="0" applyNumberFormat="0" applyFill="0" applyBorder="0" applyAlignment="0" applyProtection="0"/>
    <xf numFmtId="0" fontId="33" fillId="17" borderId="14" applyNumberFormat="0" applyAlignment="0" applyProtection="0"/>
    <xf numFmtId="0" fontId="10" fillId="0" borderId="22">
      <alignment horizontal="right" vertical="center"/>
    </xf>
    <xf numFmtId="4" fontId="10" fillId="0" borderId="22">
      <alignment horizontal="right" vertical="center"/>
    </xf>
    <xf numFmtId="0" fontId="4" fillId="0" borderId="0"/>
    <xf numFmtId="0" fontId="10" fillId="0" borderId="22" applyNumberFormat="0" applyFill="0" applyAlignment="0" applyProtection="0"/>
    <xf numFmtId="0" fontId="37" fillId="30" borderId="13" applyNumberFormat="0" applyAlignment="0" applyProtection="0"/>
    <xf numFmtId="166" fontId="10" fillId="34" borderId="22" applyNumberFormat="0" applyFont="0" applyBorder="0" applyAlignment="0" applyProtection="0">
      <alignment horizontal="right" vertical="center"/>
    </xf>
    <xf numFmtId="0" fontId="10" fillId="7" borderId="22"/>
    <xf numFmtId="4" fontId="10" fillId="7" borderId="22"/>
    <xf numFmtId="0" fontId="40" fillId="0" borderId="16" applyNumberFormat="0" applyFill="0" applyAlignment="0" applyProtection="0"/>
    <xf numFmtId="0" fontId="4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5" borderId="2" applyNumberFormat="0" applyAlignment="0" applyProtection="0"/>
    <xf numFmtId="0" fontId="10" fillId="6" borderId="0" applyBorder="0">
      <alignment horizontal="right" vertical="center"/>
    </xf>
    <xf numFmtId="0" fontId="10" fillId="6" borderId="0" applyBorder="0">
      <alignment horizontal="right" vertical="center"/>
    </xf>
    <xf numFmtId="0" fontId="10" fillId="0" borderId="0" applyBorder="0">
      <alignment horizontal="right" vertical="center"/>
    </xf>
    <xf numFmtId="0" fontId="8" fillId="0" borderId="0"/>
    <xf numFmtId="49" fontId="10" fillId="0" borderId="22" applyNumberFormat="0" applyFont="0" applyFill="0" applyBorder="0" applyProtection="0">
      <alignment horizontal="left" vertical="center" indent="2"/>
    </xf>
    <xf numFmtId="49" fontId="10" fillId="0" borderId="23" applyNumberFormat="0" applyFont="0" applyFill="0" applyBorder="0" applyProtection="0">
      <alignment horizontal="left" vertical="center" indent="5"/>
    </xf>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9" borderId="0" applyNumberFormat="0" applyBorder="0" applyAlignment="0" applyProtection="0"/>
    <xf numFmtId="0" fontId="29" fillId="14" borderId="0" applyNumberFormat="0" applyBorder="0" applyAlignment="0" applyProtection="0"/>
    <xf numFmtId="4" fontId="8" fillId="0" borderId="0"/>
    <xf numFmtId="0" fontId="8" fillId="0" borderId="0"/>
    <xf numFmtId="0" fontId="4" fillId="0" borderId="0"/>
    <xf numFmtId="4" fontId="10" fillId="0" borderId="22" applyFill="0" applyBorder="0" applyProtection="0">
      <alignment horizontal="right" vertical="center"/>
    </xf>
    <xf numFmtId="49" fontId="9" fillId="0" borderId="22" applyNumberFormat="0" applyFill="0" applyBorder="0" applyProtection="0">
      <alignment horizontal="left" vertical="center"/>
    </xf>
    <xf numFmtId="0" fontId="8" fillId="7" borderId="0" applyNumberFormat="0" applyFont="0" applyBorder="0" applyAlignment="0" applyProtection="0"/>
    <xf numFmtId="0" fontId="38" fillId="13" borderId="0" applyNumberFormat="0" applyBorder="0" applyAlignment="0" applyProtection="0"/>
    <xf numFmtId="0" fontId="42" fillId="0" borderId="17" applyNumberFormat="0" applyFill="0" applyAlignment="0" applyProtection="0"/>
    <xf numFmtId="0" fontId="43" fillId="0" borderId="18" applyNumberFormat="0" applyFill="0" applyAlignment="0" applyProtection="0"/>
    <xf numFmtId="0" fontId="44" fillId="0" borderId="19" applyNumberFormat="0" applyFill="0" applyAlignment="0" applyProtection="0"/>
    <xf numFmtId="0" fontId="44" fillId="0" borderId="0" applyNumberFormat="0" applyFill="0" applyBorder="0" applyAlignment="0" applyProtection="0"/>
    <xf numFmtId="0" fontId="45" fillId="0" borderId="20" applyNumberFormat="0" applyFill="0" applyAlignment="0" applyProtection="0"/>
    <xf numFmtId="0" fontId="48" fillId="31" borderId="15" applyNumberFormat="0" applyAlignment="0" applyProtection="0"/>
    <xf numFmtId="0" fontId="49" fillId="0" borderId="0" applyNumberFormat="0" applyFill="0" applyBorder="0" applyAlignment="0" applyProtection="0"/>
    <xf numFmtId="0" fontId="4" fillId="0" borderId="0"/>
    <xf numFmtId="0" fontId="5" fillId="5" borderId="2" applyNumberFormat="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15" borderId="0" applyNumberFormat="0" applyBorder="0" applyAlignment="0" applyProtection="0"/>
    <xf numFmtId="0" fontId="13" fillId="18" borderId="0" applyNumberFormat="0" applyBorder="0" applyAlignment="0" applyProtection="0"/>
    <xf numFmtId="0" fontId="13" fillId="21" borderId="0" applyNumberFormat="0" applyBorder="0" applyAlignment="0" applyProtection="0"/>
    <xf numFmtId="0" fontId="16" fillId="22"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8" fillId="30" borderId="13" applyNumberFormat="0" applyAlignment="0" applyProtection="0"/>
    <xf numFmtId="0" fontId="20" fillId="30" borderId="14" applyNumberFormat="0" applyAlignment="0" applyProtection="0"/>
    <xf numFmtId="0" fontId="25" fillId="0" borderId="16" applyNumberFormat="0" applyFill="0" applyAlignment="0" applyProtection="0"/>
    <xf numFmtId="0" fontId="26" fillId="0" borderId="0" applyNumberFormat="0" applyFill="0" applyBorder="0" applyAlignment="0" applyProtection="0"/>
    <xf numFmtId="0" fontId="4" fillId="0" borderId="0"/>
    <xf numFmtId="0" fontId="46" fillId="0" borderId="0" applyNumberFormat="0" applyFill="0" applyBorder="0" applyAlignment="0" applyProtection="0"/>
    <xf numFmtId="0" fontId="4" fillId="0" borderId="0"/>
    <xf numFmtId="0" fontId="4" fillId="0" borderId="0"/>
    <xf numFmtId="0" fontId="4" fillId="0" borderId="0"/>
    <xf numFmtId="49" fontId="10" fillId="0" borderId="7" applyNumberFormat="0" applyFont="0" applyFill="0" applyBorder="0" applyProtection="0">
      <alignment horizontal="left" vertical="center" indent="2"/>
    </xf>
    <xf numFmtId="49" fontId="10" fillId="0" borderId="6" applyNumberFormat="0" applyFont="0" applyFill="0" applyBorder="0" applyProtection="0">
      <alignment horizontal="left" vertical="center" indent="5"/>
    </xf>
    <xf numFmtId="0" fontId="7" fillId="6" borderId="7">
      <alignment horizontal="right" vertical="center"/>
    </xf>
    <xf numFmtId="4" fontId="7" fillId="6" borderId="7">
      <alignment horizontal="right" vertical="center"/>
    </xf>
    <xf numFmtId="0" fontId="12" fillId="6" borderId="7">
      <alignment horizontal="right" vertical="center"/>
    </xf>
    <xf numFmtId="4" fontId="12" fillId="6" borderId="7">
      <alignment horizontal="right" vertical="center"/>
    </xf>
    <xf numFmtId="0" fontId="7" fillId="8" borderId="7">
      <alignment horizontal="right" vertical="center"/>
    </xf>
    <xf numFmtId="4" fontId="7" fillId="8" borderId="7">
      <alignment horizontal="right" vertical="center"/>
    </xf>
    <xf numFmtId="0" fontId="7" fillId="8" borderId="7">
      <alignment horizontal="right" vertical="center"/>
    </xf>
    <xf numFmtId="4" fontId="7" fillId="8" borderId="7">
      <alignment horizontal="right" vertical="center"/>
    </xf>
    <xf numFmtId="0" fontId="7" fillId="8" borderId="6">
      <alignment horizontal="right" vertical="center"/>
    </xf>
    <xf numFmtId="4" fontId="7" fillId="8" borderId="6">
      <alignment horizontal="right" vertical="center"/>
    </xf>
    <xf numFmtId="0" fontId="7" fillId="8" borderId="8">
      <alignment horizontal="right" vertical="center"/>
    </xf>
    <xf numFmtId="4" fontId="7" fillId="8" borderId="8">
      <alignment horizontal="right" vertical="center"/>
    </xf>
    <xf numFmtId="165" fontId="53" fillId="0" borderId="0" applyFont="0" applyFill="0" applyBorder="0" applyAlignment="0" applyProtection="0"/>
    <xf numFmtId="0" fontId="10" fillId="8" borderId="12">
      <alignment horizontal="left" vertical="center" wrapText="1" indent="2"/>
    </xf>
    <xf numFmtId="0" fontId="10" fillId="0" borderId="12">
      <alignment horizontal="left" vertical="center" wrapText="1" indent="2"/>
    </xf>
    <xf numFmtId="0" fontId="10" fillId="6" borderId="6">
      <alignment horizontal="left" vertical="center"/>
    </xf>
    <xf numFmtId="0" fontId="24" fillId="17" borderId="14" applyNumberFormat="0" applyAlignment="0" applyProtection="0"/>
    <xf numFmtId="0" fontId="10" fillId="0" borderId="7">
      <alignment horizontal="right" vertical="center"/>
    </xf>
    <xf numFmtId="4" fontId="10" fillId="0" borderId="7">
      <alignment horizontal="right" vertical="center"/>
    </xf>
    <xf numFmtId="0" fontId="53" fillId="0" borderId="0"/>
    <xf numFmtId="0" fontId="51" fillId="0" borderId="0"/>
    <xf numFmtId="0" fontId="51" fillId="0" borderId="0"/>
    <xf numFmtId="0" fontId="4" fillId="0" borderId="0"/>
    <xf numFmtId="0" fontId="4" fillId="0" borderId="0"/>
    <xf numFmtId="0" fontId="4" fillId="0" borderId="0"/>
    <xf numFmtId="0" fontId="4" fillId="0" borderId="0"/>
    <xf numFmtId="0" fontId="51" fillId="0" borderId="0"/>
    <xf numFmtId="0" fontId="8" fillId="0" borderId="0"/>
    <xf numFmtId="4" fontId="10" fillId="0" borderId="7" applyFill="0" applyBorder="0" applyProtection="0">
      <alignment horizontal="right" vertical="center"/>
    </xf>
    <xf numFmtId="49" fontId="9" fillId="0" borderId="7" applyNumberFormat="0" applyFill="0" applyBorder="0" applyProtection="0">
      <alignment horizontal="left" vertical="center"/>
    </xf>
    <xf numFmtId="0" fontId="10" fillId="0" borderId="7" applyNumberFormat="0" applyFill="0" applyAlignment="0" applyProtection="0"/>
    <xf numFmtId="0" fontId="53" fillId="9" borderId="0" applyNumberFormat="0" applyFont="0" applyBorder="0" applyAlignment="0" applyProtection="0"/>
    <xf numFmtId="166" fontId="10" fillId="34" borderId="7" applyNumberFormat="0" applyFont="0" applyBorder="0" applyAlignment="0" applyProtection="0">
      <alignment horizontal="right" vertical="center"/>
    </xf>
    <xf numFmtId="9" fontId="53" fillId="0" borderId="0" applyFont="0" applyFill="0" applyBorder="0" applyAlignment="0" applyProtection="0"/>
    <xf numFmtId="0" fontId="10" fillId="7" borderId="7"/>
    <xf numFmtId="4" fontId="10" fillId="7" borderId="7"/>
    <xf numFmtId="0" fontId="10" fillId="8" borderId="25">
      <alignment horizontal="left" vertical="center" wrapText="1" indent="2"/>
    </xf>
    <xf numFmtId="0" fontId="10" fillId="0" borderId="25">
      <alignment horizontal="left" vertical="center" wrapText="1" indent="2"/>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8" borderId="12">
      <alignment horizontal="left" vertical="center" wrapText="1" indent="2"/>
    </xf>
    <xf numFmtId="0" fontId="10" fillId="0" borderId="12">
      <alignment horizontal="left" vertical="center" wrapText="1" indent="2"/>
    </xf>
    <xf numFmtId="0" fontId="8" fillId="0" borderId="0"/>
    <xf numFmtId="4" fontId="7" fillId="8" borderId="22">
      <alignment horizontal="right" vertical="center"/>
    </xf>
    <xf numFmtId="0" fontId="10" fillId="7" borderId="22"/>
    <xf numFmtId="0" fontId="20" fillId="30" borderId="14" applyNumberFormat="0" applyAlignment="0" applyProtection="0"/>
    <xf numFmtId="0" fontId="7" fillId="6" borderId="22">
      <alignment horizontal="right" vertical="center"/>
    </xf>
    <xf numFmtId="0" fontId="10" fillId="0" borderId="22">
      <alignment horizontal="right" vertical="center"/>
    </xf>
    <xf numFmtId="0" fontId="40" fillId="0" borderId="16" applyNumberFormat="0" applyFill="0" applyAlignment="0" applyProtection="0"/>
    <xf numFmtId="0" fontId="10" fillId="6" borderId="23">
      <alignment horizontal="left" vertical="center"/>
    </xf>
    <xf numFmtId="0" fontId="33" fillId="17" borderId="14" applyNumberFormat="0" applyAlignment="0" applyProtection="0"/>
    <xf numFmtId="166" fontId="10" fillId="34" borderId="22" applyNumberFormat="0" applyFont="0" applyBorder="0" applyAlignment="0" applyProtection="0">
      <alignment horizontal="right" vertical="center"/>
    </xf>
    <xf numFmtId="0" fontId="15" fillId="33" borderId="21" applyNumberFormat="0" applyFont="0" applyAlignment="0" applyProtection="0"/>
    <xf numFmtId="0" fontId="10" fillId="0" borderId="25">
      <alignment horizontal="left" vertical="center" wrapText="1" indent="2"/>
    </xf>
    <xf numFmtId="4" fontId="10" fillId="7" borderId="22"/>
    <xf numFmtId="49" fontId="9" fillId="0" borderId="22" applyNumberFormat="0" applyFill="0" applyBorder="0" applyProtection="0">
      <alignment horizontal="left" vertical="center"/>
    </xf>
    <xf numFmtId="0" fontId="10" fillId="0" borderId="22">
      <alignment horizontal="right" vertical="center"/>
    </xf>
    <xf numFmtId="4" fontId="7" fillId="8" borderId="24">
      <alignment horizontal="right" vertical="center"/>
    </xf>
    <xf numFmtId="4" fontId="7" fillId="8" borderId="22">
      <alignment horizontal="right" vertical="center"/>
    </xf>
    <xf numFmtId="4" fontId="7" fillId="8" borderId="22">
      <alignment horizontal="right" vertical="center"/>
    </xf>
    <xf numFmtId="0" fontId="12" fillId="6" borderId="22">
      <alignment horizontal="right" vertical="center"/>
    </xf>
    <xf numFmtId="0" fontId="7" fillId="6" borderId="22">
      <alignment horizontal="right" vertical="center"/>
    </xf>
    <xf numFmtId="49" fontId="10" fillId="0" borderId="22" applyNumberFormat="0" applyFont="0" applyFill="0" applyBorder="0" applyProtection="0">
      <alignment horizontal="left" vertical="center" indent="2"/>
    </xf>
    <xf numFmtId="0" fontId="33" fillId="17" borderId="14" applyNumberFormat="0" applyAlignment="0" applyProtection="0"/>
    <xf numFmtId="0" fontId="18" fillId="30" borderId="13" applyNumberFormat="0" applyAlignment="0" applyProtection="0"/>
    <xf numFmtId="49" fontId="10" fillId="0" borderId="22" applyNumberFormat="0" applyFont="0" applyFill="0" applyBorder="0" applyProtection="0">
      <alignment horizontal="left" vertical="center" indent="2"/>
    </xf>
    <xf numFmtId="0" fontId="24" fillId="17" borderId="14" applyNumberFormat="0" applyAlignment="0" applyProtection="0"/>
    <xf numFmtId="4" fontId="10" fillId="0" borderId="22" applyFill="0" applyBorder="0" applyProtection="0">
      <alignment horizontal="right" vertical="center"/>
    </xf>
    <xf numFmtId="0" fontId="21" fillId="30" borderId="14" applyNumberFormat="0" applyAlignment="0" applyProtection="0"/>
    <xf numFmtId="0" fontId="40" fillId="0" borderId="16" applyNumberFormat="0" applyFill="0" applyAlignment="0" applyProtection="0"/>
    <xf numFmtId="0" fontId="37" fillId="30" borderId="13" applyNumberFormat="0" applyAlignment="0" applyProtection="0"/>
    <xf numFmtId="0" fontId="10" fillId="0" borderId="22" applyNumberFormat="0" applyFill="0" applyAlignment="0" applyProtection="0"/>
    <xf numFmtId="4" fontId="10" fillId="0" borderId="22">
      <alignment horizontal="right" vertical="center"/>
    </xf>
    <xf numFmtId="0" fontId="10" fillId="0" borderId="22">
      <alignment horizontal="right" vertical="center"/>
    </xf>
    <xf numFmtId="0" fontId="33" fillId="17" borderId="14" applyNumberFormat="0" applyAlignment="0" applyProtection="0"/>
    <xf numFmtId="0" fontId="18" fillId="30" borderId="13" applyNumberFormat="0" applyAlignment="0" applyProtection="0"/>
    <xf numFmtId="0" fontId="20" fillId="30" borderId="14" applyNumberFormat="0" applyAlignment="0" applyProtection="0"/>
    <xf numFmtId="0" fontId="10" fillId="8" borderId="25">
      <alignment horizontal="left" vertical="center" wrapText="1" indent="2"/>
    </xf>
    <xf numFmtId="0" fontId="21" fillId="30" borderId="14" applyNumberFormat="0" applyAlignment="0" applyProtection="0"/>
    <xf numFmtId="0" fontId="21" fillId="30" borderId="14" applyNumberFormat="0" applyAlignment="0" applyProtection="0"/>
    <xf numFmtId="4" fontId="7" fillId="8" borderId="23">
      <alignment horizontal="right" vertical="center"/>
    </xf>
    <xf numFmtId="0" fontId="7" fillId="8" borderId="23">
      <alignment horizontal="right" vertical="center"/>
    </xf>
    <xf numFmtId="0" fontId="7" fillId="8" borderId="22">
      <alignment horizontal="right" vertical="center"/>
    </xf>
    <xf numFmtId="4" fontId="12" fillId="6" borderId="22">
      <alignment horizontal="right" vertical="center"/>
    </xf>
    <xf numFmtId="0" fontId="24" fillId="17" borderId="14" applyNumberFormat="0" applyAlignment="0" applyProtection="0"/>
    <xf numFmtId="0" fontId="25" fillId="0" borderId="16" applyNumberFormat="0" applyFill="0" applyAlignment="0" applyProtection="0"/>
    <xf numFmtId="0" fontId="40" fillId="0" borderId="16" applyNumberFormat="0" applyFill="0" applyAlignment="0" applyProtection="0"/>
    <xf numFmtId="0" fontId="15" fillId="33" borderId="21" applyNumberFormat="0" applyFont="0" applyAlignment="0" applyProtection="0"/>
    <xf numFmtId="0" fontId="33" fillId="17" borderId="14" applyNumberFormat="0" applyAlignment="0" applyProtection="0"/>
    <xf numFmtId="49" fontId="9" fillId="0" borderId="22" applyNumberFormat="0" applyFill="0" applyBorder="0" applyProtection="0">
      <alignment horizontal="left" vertical="center"/>
    </xf>
    <xf numFmtId="0" fontId="10" fillId="8" borderId="25">
      <alignment horizontal="left" vertical="center" wrapText="1" indent="2"/>
    </xf>
    <xf numFmtId="0" fontId="21" fillId="30" borderId="14" applyNumberFormat="0" applyAlignment="0" applyProtection="0"/>
    <xf numFmtId="0" fontId="10" fillId="0" borderId="25">
      <alignment horizontal="left" vertical="center" wrapText="1" indent="2"/>
    </xf>
    <xf numFmtId="0" fontId="15" fillId="33" borderId="21" applyNumberFormat="0" applyFont="0" applyAlignment="0" applyProtection="0"/>
    <xf numFmtId="0" fontId="8" fillId="33" borderId="21" applyNumberFormat="0" applyFont="0" applyAlignment="0" applyProtection="0"/>
    <xf numFmtId="0" fontId="37" fillId="30" borderId="13" applyNumberFormat="0" applyAlignment="0" applyProtection="0"/>
    <xf numFmtId="0" fontId="40" fillId="0" borderId="16" applyNumberFormat="0" applyFill="0" applyAlignment="0" applyProtection="0"/>
    <xf numFmtId="4" fontId="10" fillId="7" borderId="22"/>
    <xf numFmtId="0" fontId="7" fillId="8" borderId="22">
      <alignment horizontal="right" vertical="center"/>
    </xf>
    <xf numFmtId="0" fontId="40" fillId="0" borderId="16" applyNumberFormat="0" applyFill="0" applyAlignment="0" applyProtection="0"/>
    <xf numFmtId="4" fontId="7" fillId="8" borderId="24">
      <alignment horizontal="right" vertical="center"/>
    </xf>
    <xf numFmtId="0" fontId="20" fillId="30" borderId="14" applyNumberFormat="0" applyAlignment="0" applyProtection="0"/>
    <xf numFmtId="0" fontId="7" fillId="8" borderId="23">
      <alignment horizontal="right" vertical="center"/>
    </xf>
    <xf numFmtId="0" fontId="21" fillId="30" borderId="14" applyNumberFormat="0" applyAlignment="0" applyProtection="0"/>
    <xf numFmtId="0" fontId="25" fillId="0" borderId="16" applyNumberFormat="0" applyFill="0" applyAlignment="0" applyProtection="0"/>
    <xf numFmtId="0" fontId="15" fillId="33" borderId="21" applyNumberFormat="0" applyFont="0" applyAlignment="0" applyProtection="0"/>
    <xf numFmtId="4" fontId="7" fillId="8" borderId="23">
      <alignment horizontal="right" vertical="center"/>
    </xf>
    <xf numFmtId="0" fontId="10" fillId="8" borderId="25">
      <alignment horizontal="left" vertical="center" wrapText="1" indent="2"/>
    </xf>
    <xf numFmtId="0" fontId="10" fillId="7" borderId="22"/>
    <xf numFmtId="166" fontId="10" fillId="34" borderId="22" applyNumberFormat="0" applyFont="0" applyBorder="0" applyAlignment="0" applyProtection="0">
      <alignment horizontal="right" vertical="center"/>
    </xf>
    <xf numFmtId="0" fontId="10" fillId="0" borderId="22" applyNumberFormat="0" applyFill="0" applyAlignment="0" applyProtection="0"/>
    <xf numFmtId="4" fontId="10" fillId="0" borderId="22" applyFill="0" applyBorder="0" applyProtection="0">
      <alignment horizontal="right" vertical="center"/>
    </xf>
    <xf numFmtId="4" fontId="7" fillId="6" borderId="22">
      <alignment horizontal="right" vertical="center"/>
    </xf>
    <xf numFmtId="0" fontId="25" fillId="0" borderId="16" applyNumberFormat="0" applyFill="0" applyAlignment="0" applyProtection="0"/>
    <xf numFmtId="49" fontId="9" fillId="0" borderId="22" applyNumberFormat="0" applyFill="0" applyBorder="0" applyProtection="0">
      <alignment horizontal="left" vertical="center"/>
    </xf>
    <xf numFmtId="49" fontId="10" fillId="0" borderId="23" applyNumberFormat="0" applyFont="0" applyFill="0" applyBorder="0" applyProtection="0">
      <alignment horizontal="left" vertical="center" indent="5"/>
    </xf>
    <xf numFmtId="0" fontId="10" fillId="6" borderId="23">
      <alignment horizontal="left" vertical="center"/>
    </xf>
    <xf numFmtId="0" fontId="21" fillId="30" borderId="14" applyNumberFormat="0" applyAlignment="0" applyProtection="0"/>
    <xf numFmtId="4" fontId="7" fillId="8" borderId="24">
      <alignment horizontal="right" vertical="center"/>
    </xf>
    <xf numFmtId="0" fontId="33" fillId="17" borderId="14" applyNumberFormat="0" applyAlignment="0" applyProtection="0"/>
    <xf numFmtId="0" fontId="33" fillId="17" borderId="14" applyNumberFormat="0" applyAlignment="0" applyProtection="0"/>
    <xf numFmtId="0" fontId="15" fillId="33" borderId="21" applyNumberFormat="0" applyFont="0" applyAlignment="0" applyProtection="0"/>
    <xf numFmtId="0" fontId="37" fillId="30" borderId="13" applyNumberFormat="0" applyAlignment="0" applyProtection="0"/>
    <xf numFmtId="0" fontId="40" fillId="0" borderId="16" applyNumberFormat="0" applyFill="0" applyAlignment="0" applyProtection="0"/>
    <xf numFmtId="0" fontId="7" fillId="8" borderId="22">
      <alignment horizontal="right" vertical="center"/>
    </xf>
    <xf numFmtId="0" fontId="8" fillId="33" borderId="21" applyNumberFormat="0" applyFont="0" applyAlignment="0" applyProtection="0"/>
    <xf numFmtId="4" fontId="10" fillId="0" borderId="22">
      <alignment horizontal="right" vertical="center"/>
    </xf>
    <xf numFmtId="0" fontId="40" fillId="0" borderId="16" applyNumberFormat="0" applyFill="0" applyAlignment="0" applyProtection="0"/>
    <xf numFmtId="0" fontId="7" fillId="8" borderId="22">
      <alignment horizontal="right" vertical="center"/>
    </xf>
    <xf numFmtId="0" fontId="7" fillId="8" borderId="22">
      <alignment horizontal="right" vertical="center"/>
    </xf>
    <xf numFmtId="4" fontId="12" fillId="6" borderId="22">
      <alignment horizontal="right" vertical="center"/>
    </xf>
    <xf numFmtId="0" fontId="7" fillId="6" borderId="22">
      <alignment horizontal="right" vertical="center"/>
    </xf>
    <xf numFmtId="4" fontId="7" fillId="6" borderId="22">
      <alignment horizontal="right" vertical="center"/>
    </xf>
    <xf numFmtId="0" fontId="12" fillId="6" borderId="22">
      <alignment horizontal="right" vertical="center"/>
    </xf>
    <xf numFmtId="4" fontId="12" fillId="6" borderId="22">
      <alignment horizontal="right" vertical="center"/>
    </xf>
    <xf numFmtId="0" fontId="7" fillId="8" borderId="22">
      <alignment horizontal="right" vertical="center"/>
    </xf>
    <xf numFmtId="4" fontId="7" fillId="8" borderId="22">
      <alignment horizontal="right" vertical="center"/>
    </xf>
    <xf numFmtId="0" fontId="7" fillId="8" borderId="22">
      <alignment horizontal="right" vertical="center"/>
    </xf>
    <xf numFmtId="4" fontId="7" fillId="8" borderId="22">
      <alignment horizontal="right" vertical="center"/>
    </xf>
    <xf numFmtId="0" fontId="7" fillId="8" borderId="23">
      <alignment horizontal="right" vertical="center"/>
    </xf>
    <xf numFmtId="4" fontId="7" fillId="8" borderId="23">
      <alignment horizontal="right" vertical="center"/>
    </xf>
    <xf numFmtId="0" fontId="7" fillId="8" borderId="24">
      <alignment horizontal="right" vertical="center"/>
    </xf>
    <xf numFmtId="4" fontId="7" fillId="8" borderId="24">
      <alignment horizontal="right" vertical="center"/>
    </xf>
    <xf numFmtId="0" fontId="21" fillId="30" borderId="14" applyNumberFormat="0" applyAlignment="0" applyProtection="0"/>
    <xf numFmtId="0" fontId="10" fillId="8" borderId="25">
      <alignment horizontal="left" vertical="center" wrapText="1" indent="2"/>
    </xf>
    <xf numFmtId="0" fontId="10" fillId="0" borderId="25">
      <alignment horizontal="left" vertical="center" wrapText="1" indent="2"/>
    </xf>
    <xf numFmtId="0" fontId="10" fillId="6" borderId="23">
      <alignment horizontal="left" vertical="center"/>
    </xf>
    <xf numFmtId="0" fontId="33" fillId="17" borderId="14" applyNumberFormat="0" applyAlignment="0" applyProtection="0"/>
    <xf numFmtId="0" fontId="10" fillId="0" borderId="22">
      <alignment horizontal="right" vertical="center"/>
    </xf>
    <xf numFmtId="4" fontId="10" fillId="0" borderId="22">
      <alignment horizontal="right" vertical="center"/>
    </xf>
    <xf numFmtId="0" fontId="10" fillId="0" borderId="22" applyNumberFormat="0" applyFill="0" applyAlignment="0" applyProtection="0"/>
    <xf numFmtId="0" fontId="37" fillId="30" borderId="13" applyNumberFormat="0" applyAlignment="0" applyProtection="0"/>
    <xf numFmtId="166" fontId="10" fillId="34" borderId="22" applyNumberFormat="0" applyFont="0" applyBorder="0" applyAlignment="0" applyProtection="0">
      <alignment horizontal="right" vertical="center"/>
    </xf>
    <xf numFmtId="0" fontId="10" fillId="7" borderId="22"/>
    <xf numFmtId="4" fontId="10" fillId="7" borderId="22"/>
    <xf numFmtId="0" fontId="40" fillId="0" borderId="16" applyNumberFormat="0" applyFill="0" applyAlignment="0" applyProtection="0"/>
    <xf numFmtId="0" fontId="8" fillId="33" borderId="21" applyNumberFormat="0" applyFont="0" applyAlignment="0" applyProtection="0"/>
    <xf numFmtId="0" fontId="15" fillId="33" borderId="21" applyNumberFormat="0" applyFont="0" applyAlignment="0" applyProtection="0"/>
    <xf numFmtId="0" fontId="10" fillId="0" borderId="22" applyNumberFormat="0" applyFill="0" applyAlignment="0" applyProtection="0"/>
    <xf numFmtId="0" fontId="25" fillId="0" borderId="16" applyNumberFormat="0" applyFill="0" applyAlignment="0" applyProtection="0"/>
    <xf numFmtId="0" fontId="40" fillId="0" borderId="16" applyNumberFormat="0" applyFill="0" applyAlignment="0" applyProtection="0"/>
    <xf numFmtId="0" fontId="24" fillId="17" borderId="14" applyNumberFormat="0" applyAlignment="0" applyProtection="0"/>
    <xf numFmtId="0" fontId="21" fillId="30" borderId="14" applyNumberFormat="0" applyAlignment="0" applyProtection="0"/>
    <xf numFmtId="4" fontId="12" fillId="6" borderId="22">
      <alignment horizontal="right" vertical="center"/>
    </xf>
    <xf numFmtId="0" fontId="7" fillId="6" borderId="22">
      <alignment horizontal="right" vertical="center"/>
    </xf>
    <xf numFmtId="166" fontId="10" fillId="34" borderId="22" applyNumberFormat="0" applyFont="0" applyBorder="0" applyAlignment="0" applyProtection="0">
      <alignment horizontal="right" vertical="center"/>
    </xf>
    <xf numFmtId="0" fontId="25" fillId="0" borderId="16" applyNumberFormat="0" applyFill="0" applyAlignment="0" applyProtection="0"/>
    <xf numFmtId="49" fontId="10" fillId="0" borderId="22" applyNumberFormat="0" applyFont="0" applyFill="0" applyBorder="0" applyProtection="0">
      <alignment horizontal="left" vertical="center" indent="2"/>
    </xf>
    <xf numFmtId="49" fontId="10" fillId="0" borderId="23" applyNumberFormat="0" applyFont="0" applyFill="0" applyBorder="0" applyProtection="0">
      <alignment horizontal="left" vertical="center" indent="5"/>
    </xf>
    <xf numFmtId="49" fontId="10" fillId="0" borderId="22" applyNumberFormat="0" applyFont="0" applyFill="0" applyBorder="0" applyProtection="0">
      <alignment horizontal="left" vertical="center" indent="2"/>
    </xf>
    <xf numFmtId="4" fontId="10" fillId="0" borderId="22" applyFill="0" applyBorder="0" applyProtection="0">
      <alignment horizontal="right" vertical="center"/>
    </xf>
    <xf numFmtId="49" fontId="9" fillId="0" borderId="22" applyNumberFormat="0" applyFill="0" applyBorder="0" applyProtection="0">
      <alignment horizontal="left" vertical="center"/>
    </xf>
    <xf numFmtId="0" fontId="10" fillId="0" borderId="25">
      <alignment horizontal="left" vertical="center" wrapText="1" indent="2"/>
    </xf>
    <xf numFmtId="0" fontId="37" fillId="30" borderId="13" applyNumberFormat="0" applyAlignment="0" applyProtection="0"/>
    <xf numFmtId="0" fontId="7" fillId="8" borderId="24">
      <alignment horizontal="right" vertical="center"/>
    </xf>
    <xf numFmtId="0" fontId="24" fillId="17" borderId="14" applyNumberFormat="0" applyAlignment="0" applyProtection="0"/>
    <xf numFmtId="0" fontId="7" fillId="8" borderId="24">
      <alignment horizontal="right" vertical="center"/>
    </xf>
    <xf numFmtId="4" fontId="7" fillId="8" borderId="22">
      <alignment horizontal="right" vertical="center"/>
    </xf>
    <xf numFmtId="0" fontId="7" fillId="8" borderId="22">
      <alignment horizontal="right" vertical="center"/>
    </xf>
    <xf numFmtId="0" fontId="18" fillId="30" borderId="13" applyNumberFormat="0" applyAlignment="0" applyProtection="0"/>
    <xf numFmtId="0" fontId="20" fillId="30" borderId="14" applyNumberFormat="0" applyAlignment="0" applyProtection="0"/>
    <xf numFmtId="0" fontId="25" fillId="0" borderId="16" applyNumberFormat="0" applyFill="0" applyAlignment="0" applyProtection="0"/>
    <xf numFmtId="0" fontId="10" fillId="7" borderId="22"/>
    <xf numFmtId="4" fontId="10" fillId="7" borderId="22"/>
    <xf numFmtId="4" fontId="7" fillId="8" borderId="22">
      <alignment horizontal="right" vertical="center"/>
    </xf>
    <xf numFmtId="0" fontId="12" fillId="6" borderId="22">
      <alignment horizontal="right" vertical="center"/>
    </xf>
    <xf numFmtId="0" fontId="24" fillId="17" borderId="14" applyNumberFormat="0" applyAlignment="0" applyProtection="0"/>
    <xf numFmtId="0" fontId="21" fillId="30" borderId="14" applyNumberFormat="0" applyAlignment="0" applyProtection="0"/>
    <xf numFmtId="4" fontId="10" fillId="0" borderId="22">
      <alignment horizontal="right" vertical="center"/>
    </xf>
    <xf numFmtId="0" fontId="10" fillId="8" borderId="25">
      <alignment horizontal="left" vertical="center" wrapText="1" indent="2"/>
    </xf>
    <xf numFmtId="0" fontId="10" fillId="0" borderId="25">
      <alignment horizontal="left" vertical="center" wrapText="1" indent="2"/>
    </xf>
    <xf numFmtId="0" fontId="37" fillId="30" borderId="13" applyNumberFormat="0" applyAlignment="0" applyProtection="0"/>
    <xf numFmtId="0" fontId="33" fillId="17" borderId="14" applyNumberFormat="0" applyAlignment="0" applyProtection="0"/>
    <xf numFmtId="0" fontId="20" fillId="30" borderId="14" applyNumberFormat="0" applyAlignment="0" applyProtection="0"/>
    <xf numFmtId="0" fontId="18" fillId="30" borderId="13" applyNumberFormat="0" applyAlignment="0" applyProtection="0"/>
    <xf numFmtId="0" fontId="7" fillId="8" borderId="24">
      <alignment horizontal="right" vertical="center"/>
    </xf>
    <xf numFmtId="0" fontId="12" fillId="6" borderId="22">
      <alignment horizontal="right" vertical="center"/>
    </xf>
    <xf numFmtId="4" fontId="7" fillId="6" borderId="22">
      <alignment horizontal="right" vertical="center"/>
    </xf>
    <xf numFmtId="4" fontId="7" fillId="8" borderId="22">
      <alignment horizontal="right" vertical="center"/>
    </xf>
    <xf numFmtId="49" fontId="10" fillId="0" borderId="23" applyNumberFormat="0" applyFont="0" applyFill="0" applyBorder="0" applyProtection="0">
      <alignment horizontal="left" vertical="center" indent="5"/>
    </xf>
    <xf numFmtId="4" fontId="10" fillId="0" borderId="22" applyFill="0" applyBorder="0" applyProtection="0">
      <alignment horizontal="right" vertical="center"/>
    </xf>
    <xf numFmtId="4" fontId="7" fillId="6" borderId="22">
      <alignment horizontal="right" vertical="center"/>
    </xf>
    <xf numFmtId="0" fontId="8" fillId="0" borderId="0"/>
    <xf numFmtId="0" fontId="33" fillId="17" borderId="14" applyNumberFormat="0" applyAlignment="0" applyProtection="0"/>
    <xf numFmtId="0" fontId="24" fillId="17" borderId="14" applyNumberFormat="0" applyAlignment="0" applyProtection="0"/>
    <xf numFmtId="0" fontId="20" fillId="30" borderId="14" applyNumberFormat="0" applyAlignment="0" applyProtection="0"/>
    <xf numFmtId="0" fontId="10" fillId="8" borderId="25">
      <alignment horizontal="left" vertical="center" wrapText="1" indent="2"/>
    </xf>
    <xf numFmtId="0" fontId="10" fillId="0" borderId="25">
      <alignment horizontal="left" vertical="center" wrapText="1" indent="2"/>
    </xf>
    <xf numFmtId="0" fontId="10" fillId="8" borderId="25">
      <alignment horizontal="left" vertical="center" wrapText="1" indent="2"/>
    </xf>
    <xf numFmtId="0" fontId="10" fillId="0" borderId="25">
      <alignment horizontal="left" vertical="center" wrapText="1" indent="2"/>
    </xf>
    <xf numFmtId="0" fontId="4" fillId="0" borderId="0"/>
    <xf numFmtId="0" fontId="8" fillId="0" borderId="0"/>
    <xf numFmtId="0" fontId="12" fillId="6" borderId="22">
      <alignment horizontal="right" vertical="center"/>
    </xf>
    <xf numFmtId="0" fontId="40" fillId="0" borderId="16" applyNumberFormat="0" applyFill="0" applyAlignment="0" applyProtection="0"/>
    <xf numFmtId="0" fontId="7" fillId="8" borderId="22">
      <alignment horizontal="right" vertical="center"/>
    </xf>
    <xf numFmtId="0" fontId="10" fillId="0" borderId="25">
      <alignment horizontal="left" vertical="center" wrapText="1" indent="2"/>
    </xf>
    <xf numFmtId="4" fontId="12" fillId="6" borderId="22">
      <alignment horizontal="right" vertical="center"/>
    </xf>
    <xf numFmtId="4" fontId="7" fillId="6" borderId="22">
      <alignment horizontal="right" vertical="center"/>
    </xf>
    <xf numFmtId="0" fontId="10" fillId="7" borderId="22"/>
    <xf numFmtId="0" fontId="10" fillId="0" borderId="22" applyNumberFormat="0" applyFill="0" applyAlignment="0" applyProtection="0"/>
    <xf numFmtId="4" fontId="10" fillId="0" borderId="22">
      <alignment horizontal="right" vertical="center"/>
    </xf>
    <xf numFmtId="0" fontId="24" fillId="17" borderId="14" applyNumberFormat="0" applyAlignment="0" applyProtection="0"/>
    <xf numFmtId="0" fontId="10" fillId="8" borderId="25">
      <alignment horizontal="left" vertical="center" wrapText="1" indent="2"/>
    </xf>
    <xf numFmtId="0" fontId="7" fillId="8" borderId="22">
      <alignment horizontal="right" vertical="center"/>
    </xf>
    <xf numFmtId="0" fontId="40" fillId="0" borderId="16" applyNumberFormat="0" applyFill="0" applyAlignment="0" applyProtection="0"/>
    <xf numFmtId="0" fontId="33" fillId="17" borderId="14" applyNumberFormat="0" applyAlignment="0" applyProtection="0"/>
    <xf numFmtId="0" fontId="37" fillId="30" borderId="13" applyNumberFormat="0" applyAlignment="0" applyProtection="0"/>
    <xf numFmtId="4" fontId="10" fillId="7" borderId="22"/>
    <xf numFmtId="0" fontId="10" fillId="0" borderId="22">
      <alignment horizontal="right" vertical="center"/>
    </xf>
    <xf numFmtId="0" fontId="7" fillId="6" borderId="22">
      <alignment horizontal="right" vertical="center"/>
    </xf>
    <xf numFmtId="166" fontId="10" fillId="34" borderId="22" applyNumberFormat="0" applyFont="0" applyBorder="0" applyAlignment="0" applyProtection="0">
      <alignment horizontal="right" vertical="center"/>
    </xf>
    <xf numFmtId="49" fontId="10" fillId="0" borderId="22" applyNumberFormat="0" applyFont="0" applyFill="0" applyBorder="0" applyProtection="0">
      <alignment horizontal="left" vertical="center" indent="2"/>
    </xf>
    <xf numFmtId="0" fontId="24" fillId="17" borderId="14" applyNumberFormat="0" applyAlignment="0" applyProtection="0"/>
    <xf numFmtId="0" fontId="25" fillId="0" borderId="16" applyNumberFormat="0" applyFill="0" applyAlignment="0" applyProtection="0"/>
    <xf numFmtId="49" fontId="10" fillId="0" borderId="23" applyNumberFormat="0" applyFont="0" applyFill="0" applyBorder="0" applyProtection="0">
      <alignment horizontal="left" vertical="center" indent="5"/>
    </xf>
    <xf numFmtId="4" fontId="10" fillId="0" borderId="22">
      <alignment horizontal="right" vertical="center"/>
    </xf>
    <xf numFmtId="0" fontId="7" fillId="8" borderId="22">
      <alignment horizontal="right" vertical="center"/>
    </xf>
    <xf numFmtId="0" fontId="25" fillId="0" borderId="16" applyNumberFormat="0" applyFill="0" applyAlignment="0" applyProtection="0"/>
    <xf numFmtId="0" fontId="10" fillId="7" borderId="22"/>
    <xf numFmtId="0" fontId="7" fillId="8" borderId="22">
      <alignment horizontal="right" vertical="center"/>
    </xf>
    <xf numFmtId="0" fontId="10" fillId="0" borderId="22">
      <alignment horizontal="right" vertical="center"/>
    </xf>
    <xf numFmtId="0" fontId="7" fillId="8" borderId="24">
      <alignment horizontal="right" vertical="center"/>
    </xf>
    <xf numFmtId="0" fontId="15" fillId="33" borderId="21" applyNumberFormat="0" applyFont="0" applyAlignment="0" applyProtection="0"/>
    <xf numFmtId="0" fontId="12" fillId="6" borderId="22">
      <alignment horizontal="right" vertical="center"/>
    </xf>
    <xf numFmtId="0" fontId="10" fillId="0" borderId="22" applyNumberFormat="0" applyFill="0" applyAlignment="0" applyProtection="0"/>
    <xf numFmtId="0" fontId="7" fillId="8" borderId="22">
      <alignment horizontal="right" vertical="center"/>
    </xf>
    <xf numFmtId="0" fontId="7" fillId="8" borderId="22">
      <alignment horizontal="right" vertical="center"/>
    </xf>
    <xf numFmtId="0" fontId="10" fillId="0" borderId="12">
      <alignment horizontal="left" vertical="center" wrapText="1" indent="2"/>
    </xf>
    <xf numFmtId="0" fontId="7" fillId="8" borderId="24">
      <alignment horizontal="right" vertical="center"/>
    </xf>
    <xf numFmtId="0" fontId="10" fillId="0" borderId="22">
      <alignment horizontal="right" vertical="center"/>
    </xf>
    <xf numFmtId="0" fontId="12" fillId="6" borderId="22">
      <alignment horizontal="right" vertical="center"/>
    </xf>
    <xf numFmtId="0" fontId="10" fillId="7" borderId="22"/>
    <xf numFmtId="0" fontId="7" fillId="6" borderId="22">
      <alignment horizontal="right" vertical="center"/>
    </xf>
    <xf numFmtId="0" fontId="7" fillId="8" borderId="6">
      <alignment horizontal="right" vertical="center"/>
    </xf>
    <xf numFmtId="0" fontId="10" fillId="0" borderId="25">
      <alignment horizontal="left" vertical="center" wrapText="1" indent="2"/>
    </xf>
    <xf numFmtId="0" fontId="21" fillId="30" borderId="14" applyNumberFormat="0" applyAlignment="0" applyProtection="0"/>
    <xf numFmtId="0" fontId="8" fillId="33" borderId="21" applyNumberFormat="0" applyFont="0" applyAlignment="0" applyProtection="0"/>
    <xf numFmtId="4" fontId="7" fillId="8" borderId="23">
      <alignment horizontal="right" vertical="center"/>
    </xf>
    <xf numFmtId="0" fontId="40" fillId="0" borderId="16" applyNumberFormat="0" applyFill="0" applyAlignment="0" applyProtection="0"/>
    <xf numFmtId="0" fontId="15" fillId="33" borderId="21" applyNumberFormat="0" applyFont="0" applyAlignment="0" applyProtection="0"/>
    <xf numFmtId="4" fontId="10" fillId="0" borderId="22" applyFill="0" applyBorder="0" applyProtection="0">
      <alignment horizontal="right" vertical="center"/>
    </xf>
    <xf numFmtId="0" fontId="21" fillId="30" borderId="14" applyNumberFormat="0" applyAlignment="0" applyProtection="0"/>
    <xf numFmtId="4" fontId="10" fillId="0" borderId="22">
      <alignment horizontal="right" vertical="center"/>
    </xf>
    <xf numFmtId="0" fontId="10" fillId="0" borderId="22" applyNumberFormat="0" applyFill="0" applyAlignment="0" applyProtection="0"/>
    <xf numFmtId="4" fontId="10" fillId="0" borderId="22">
      <alignment horizontal="right" vertical="center"/>
    </xf>
    <xf numFmtId="0" fontId="37" fillId="30" borderId="13" applyNumberFormat="0" applyAlignment="0" applyProtection="0"/>
    <xf numFmtId="4" fontId="7" fillId="6" borderId="22">
      <alignment horizontal="right" vertical="center"/>
    </xf>
    <xf numFmtId="0" fontId="7" fillId="8" borderId="22">
      <alignment horizontal="right" vertical="center"/>
    </xf>
    <xf numFmtId="0" fontId="21" fillId="30" borderId="14" applyNumberFormat="0" applyAlignment="0" applyProtection="0"/>
    <xf numFmtId="0" fontId="33" fillId="17" borderId="14" applyNumberFormat="0" applyAlignment="0" applyProtection="0"/>
    <xf numFmtId="4" fontId="7" fillId="8" borderId="23">
      <alignment horizontal="right" vertical="center"/>
    </xf>
    <xf numFmtId="0" fontId="7" fillId="8" borderId="22">
      <alignment horizontal="right" vertical="center"/>
    </xf>
    <xf numFmtId="4" fontId="7" fillId="8" borderId="24">
      <alignment horizontal="right" vertical="center"/>
    </xf>
    <xf numFmtId="4" fontId="12" fillId="6" borderId="22">
      <alignment horizontal="right" vertical="center"/>
    </xf>
    <xf numFmtId="166" fontId="10" fillId="34" borderId="22" applyNumberFormat="0" applyFont="0" applyBorder="0" applyAlignment="0" applyProtection="0">
      <alignment horizontal="right" vertical="center"/>
    </xf>
    <xf numFmtId="0" fontId="10" fillId="8" borderId="25">
      <alignment horizontal="left" vertical="center" wrapText="1" indent="2"/>
    </xf>
    <xf numFmtId="4" fontId="7" fillId="8" borderId="22">
      <alignment horizontal="right" vertical="center"/>
    </xf>
    <xf numFmtId="0" fontId="7" fillId="6" borderId="22">
      <alignment horizontal="right" vertical="center"/>
    </xf>
    <xf numFmtId="0" fontId="37" fillId="30" borderId="13" applyNumberFormat="0" applyAlignment="0" applyProtection="0"/>
    <xf numFmtId="4" fontId="10" fillId="0" borderId="22">
      <alignment horizontal="right" vertical="center"/>
    </xf>
    <xf numFmtId="0" fontId="10" fillId="8" borderId="25">
      <alignment horizontal="left" vertical="center" wrapText="1" indent="2"/>
    </xf>
    <xf numFmtId="0" fontId="33" fillId="17" borderId="14" applyNumberFormat="0" applyAlignment="0" applyProtection="0"/>
    <xf numFmtId="0" fontId="20" fillId="30" borderId="14" applyNumberFormat="0" applyAlignment="0" applyProtection="0"/>
    <xf numFmtId="0" fontId="25" fillId="0" borderId="16" applyNumberFormat="0" applyFill="0" applyAlignment="0" applyProtection="0"/>
    <xf numFmtId="0" fontId="37" fillId="30" borderId="13" applyNumberFormat="0" applyAlignment="0" applyProtection="0"/>
    <xf numFmtId="4" fontId="10" fillId="7" borderId="22"/>
    <xf numFmtId="0" fontId="15" fillId="33" borderId="21" applyNumberFormat="0" applyFont="0" applyAlignment="0" applyProtection="0"/>
    <xf numFmtId="0" fontId="21" fillId="30" borderId="14" applyNumberFormat="0" applyAlignment="0" applyProtection="0"/>
    <xf numFmtId="0" fontId="10" fillId="0" borderId="25">
      <alignment horizontal="left" vertical="center" wrapText="1" indent="2"/>
    </xf>
    <xf numFmtId="0" fontId="20" fillId="30" borderId="14" applyNumberFormat="0" applyAlignment="0" applyProtection="0"/>
    <xf numFmtId="0" fontId="18" fillId="30" borderId="13" applyNumberFormat="0" applyAlignment="0" applyProtection="0"/>
    <xf numFmtId="0" fontId="12" fillId="6" borderId="22">
      <alignment horizontal="right" vertical="center"/>
    </xf>
    <xf numFmtId="0" fontId="20" fillId="30" borderId="14" applyNumberFormat="0" applyAlignment="0" applyProtection="0"/>
    <xf numFmtId="0" fontId="21" fillId="30" borderId="14" applyNumberFormat="0" applyAlignment="0" applyProtection="0"/>
    <xf numFmtId="0" fontId="24" fillId="17" borderId="14" applyNumberFormat="0" applyAlignment="0" applyProtection="0"/>
    <xf numFmtId="0" fontId="25" fillId="0" borderId="16" applyNumberFormat="0" applyFill="0" applyAlignment="0" applyProtection="0"/>
    <xf numFmtId="0" fontId="18" fillId="30" borderId="13" applyNumberFormat="0" applyAlignment="0" applyProtection="0"/>
    <xf numFmtId="0" fontId="24" fillId="17" borderId="14" applyNumberFormat="0" applyAlignment="0" applyProtection="0"/>
    <xf numFmtId="0" fontId="33" fillId="17" borderId="14" applyNumberFormat="0" applyAlignment="0" applyProtection="0"/>
    <xf numFmtId="0" fontId="8" fillId="33" borderId="21" applyNumberFormat="0" applyFont="0" applyAlignment="0" applyProtection="0"/>
    <xf numFmtId="0" fontId="40" fillId="0" borderId="16" applyNumberFormat="0" applyFill="0" applyAlignment="0" applyProtection="0"/>
    <xf numFmtId="4" fontId="12" fillId="6" borderId="22">
      <alignment horizontal="right" vertical="center"/>
    </xf>
    <xf numFmtId="4" fontId="7" fillId="8" borderId="23">
      <alignment horizontal="right" vertical="center"/>
    </xf>
    <xf numFmtId="0" fontId="18" fillId="30" borderId="13" applyNumberFormat="0" applyAlignment="0" applyProtection="0"/>
    <xf numFmtId="0" fontId="33" fillId="17" borderId="14" applyNumberFormat="0" applyAlignment="0" applyProtection="0"/>
    <xf numFmtId="0" fontId="10" fillId="6" borderId="23">
      <alignment horizontal="left" vertical="center"/>
    </xf>
    <xf numFmtId="0" fontId="15" fillId="33" borderId="21" applyNumberFormat="0" applyFont="0" applyAlignment="0" applyProtection="0"/>
    <xf numFmtId="4" fontId="10" fillId="0" borderId="22" applyFill="0" applyBorder="0" applyProtection="0">
      <alignment horizontal="right" vertical="center"/>
    </xf>
    <xf numFmtId="0" fontId="15" fillId="33" borderId="21" applyNumberFormat="0" applyFont="0" applyAlignment="0" applyProtection="0"/>
    <xf numFmtId="0" fontId="8" fillId="33" borderId="21" applyNumberFormat="0" applyFont="0" applyAlignment="0" applyProtection="0"/>
    <xf numFmtId="0" fontId="37" fillId="30" borderId="13" applyNumberFormat="0" applyAlignment="0" applyProtection="0"/>
    <xf numFmtId="0" fontId="10" fillId="8" borderId="25">
      <alignment horizontal="left" vertical="center" wrapText="1" indent="2"/>
    </xf>
    <xf numFmtId="0" fontId="40" fillId="0" borderId="16" applyNumberFormat="0" applyFill="0" applyAlignment="0" applyProtection="0"/>
    <xf numFmtId="0" fontId="33" fillId="17" borderId="14" applyNumberFormat="0" applyAlignment="0" applyProtection="0"/>
    <xf numFmtId="166" fontId="10" fillId="34" borderId="22" applyNumberFormat="0" applyFont="0" applyBorder="0" applyAlignment="0" applyProtection="0">
      <alignment horizontal="right" vertical="center"/>
    </xf>
    <xf numFmtId="4" fontId="10" fillId="7" borderId="22"/>
    <xf numFmtId="0" fontId="21" fillId="30" borderId="14" applyNumberFormat="0" applyAlignment="0" applyProtection="0"/>
    <xf numFmtId="0" fontId="10" fillId="8" borderId="25">
      <alignment horizontal="left" vertical="center" wrapText="1" indent="2"/>
    </xf>
    <xf numFmtId="0" fontId="15" fillId="33" borderId="21" applyNumberFormat="0" applyFont="0" applyAlignment="0" applyProtection="0"/>
    <xf numFmtId="0" fontId="37" fillId="30" borderId="13" applyNumberFormat="0" applyAlignment="0" applyProtection="0"/>
    <xf numFmtId="4" fontId="10" fillId="7" borderId="22"/>
    <xf numFmtId="0" fontId="20" fillId="30" borderId="14" applyNumberFormat="0" applyAlignment="0" applyProtection="0"/>
    <xf numFmtId="0" fontId="7" fillId="8" borderId="23">
      <alignment horizontal="right" vertical="center"/>
    </xf>
    <xf numFmtId="0" fontId="10" fillId="7" borderId="22"/>
    <xf numFmtId="49" fontId="9" fillId="0" borderId="22" applyNumberFormat="0" applyFill="0" applyBorder="0" applyProtection="0">
      <alignment horizontal="left" vertical="center"/>
    </xf>
    <xf numFmtId="0" fontId="10" fillId="6" borderId="23">
      <alignment horizontal="left" vertical="center"/>
    </xf>
    <xf numFmtId="166" fontId="10" fillId="34" borderId="22" applyNumberFormat="0" applyFont="0" applyBorder="0" applyAlignment="0" applyProtection="0">
      <alignment horizontal="right" vertical="center"/>
    </xf>
    <xf numFmtId="0" fontId="10" fillId="0" borderId="22" applyNumberFormat="0" applyFill="0" applyAlignment="0" applyProtection="0"/>
    <xf numFmtId="0" fontId="10" fillId="8" borderId="25">
      <alignment horizontal="left" vertical="center" wrapText="1" indent="2"/>
    </xf>
    <xf numFmtId="4" fontId="12" fillId="6" borderId="22">
      <alignment horizontal="right" vertical="center"/>
    </xf>
    <xf numFmtId="0" fontId="25" fillId="0" borderId="16" applyNumberFormat="0" applyFill="0" applyAlignment="0" applyProtection="0"/>
    <xf numFmtId="0" fontId="7" fillId="8" borderId="22">
      <alignment horizontal="right" vertical="center"/>
    </xf>
    <xf numFmtId="0" fontId="10" fillId="7" borderId="22"/>
    <xf numFmtId="4" fontId="10" fillId="7" borderId="22"/>
    <xf numFmtId="0" fontId="7" fillId="8" borderId="23">
      <alignment horizontal="right" vertical="center"/>
    </xf>
    <xf numFmtId="49" fontId="10" fillId="0" borderId="23" applyNumberFormat="0" applyFont="0" applyFill="0" applyBorder="0" applyProtection="0">
      <alignment horizontal="left" vertical="center" indent="5"/>
    </xf>
    <xf numFmtId="0" fontId="21" fillId="30" borderId="14" applyNumberFormat="0" applyAlignment="0" applyProtection="0"/>
    <xf numFmtId="0" fontId="40" fillId="0" borderId="16" applyNumberFormat="0" applyFill="0" applyAlignment="0" applyProtection="0"/>
    <xf numFmtId="0" fontId="10" fillId="8" borderId="25">
      <alignment horizontal="left" vertical="center" wrapText="1" indent="2"/>
    </xf>
    <xf numFmtId="4" fontId="12" fillId="6" borderId="22">
      <alignment horizontal="right" vertical="center"/>
    </xf>
    <xf numFmtId="4" fontId="7" fillId="8" borderId="22">
      <alignment horizontal="right" vertical="center"/>
    </xf>
    <xf numFmtId="0" fontId="24" fillId="17" borderId="14" applyNumberFormat="0" applyAlignment="0" applyProtection="0"/>
    <xf numFmtId="0" fontId="25" fillId="0" borderId="16" applyNumberFormat="0" applyFill="0" applyAlignment="0" applyProtection="0"/>
    <xf numFmtId="0" fontId="33" fillId="17" borderId="14" applyNumberFormat="0" applyAlignment="0" applyProtection="0"/>
    <xf numFmtId="0" fontId="15" fillId="33" borderId="21" applyNumberFormat="0" applyFont="0" applyAlignment="0" applyProtection="0"/>
    <xf numFmtId="0" fontId="37" fillId="30" borderId="13" applyNumberFormat="0" applyAlignment="0" applyProtection="0"/>
    <xf numFmtId="49" fontId="10" fillId="0" borderId="22" applyNumberFormat="0" applyFont="0" applyFill="0" applyBorder="0" applyProtection="0">
      <alignment horizontal="left" vertical="center" indent="2"/>
    </xf>
    <xf numFmtId="0" fontId="40" fillId="0" borderId="16" applyNumberFormat="0" applyFill="0" applyAlignment="0" applyProtection="0"/>
    <xf numFmtId="0" fontId="8" fillId="33" borderId="21" applyNumberFormat="0" applyFont="0" applyAlignment="0" applyProtection="0"/>
    <xf numFmtId="49" fontId="10" fillId="0" borderId="22" applyNumberFormat="0" applyFont="0" applyFill="0" applyBorder="0" applyProtection="0">
      <alignment horizontal="left" vertical="center" indent="2"/>
    </xf>
    <xf numFmtId="0" fontId="18" fillId="30" borderId="13" applyNumberFormat="0" applyAlignment="0" applyProtection="0"/>
    <xf numFmtId="49" fontId="9" fillId="0" borderId="22" applyNumberFormat="0" applyFill="0" applyBorder="0" applyProtection="0">
      <alignment horizontal="left" vertical="center"/>
    </xf>
    <xf numFmtId="0" fontId="24" fillId="17" borderId="14" applyNumberFormat="0" applyAlignment="0" applyProtection="0"/>
    <xf numFmtId="0" fontId="24" fillId="17" borderId="14" applyNumberFormat="0" applyAlignment="0" applyProtection="0"/>
    <xf numFmtId="0" fontId="7" fillId="6" borderId="22">
      <alignment horizontal="right" vertical="center"/>
    </xf>
    <xf numFmtId="4" fontId="7" fillId="6" borderId="22">
      <alignment horizontal="right" vertical="center"/>
    </xf>
    <xf numFmtId="0" fontId="12" fillId="6" borderId="22">
      <alignment horizontal="right" vertical="center"/>
    </xf>
    <xf numFmtId="4" fontId="12" fillId="6" borderId="22">
      <alignment horizontal="right" vertical="center"/>
    </xf>
    <xf numFmtId="0" fontId="7" fillId="8" borderId="22">
      <alignment horizontal="right" vertical="center"/>
    </xf>
    <xf numFmtId="4" fontId="7" fillId="8" borderId="22">
      <alignment horizontal="right" vertical="center"/>
    </xf>
    <xf numFmtId="0" fontId="7" fillId="8" borderId="22">
      <alignment horizontal="right" vertical="center"/>
    </xf>
    <xf numFmtId="4" fontId="7" fillId="8" borderId="22">
      <alignment horizontal="right" vertical="center"/>
    </xf>
    <xf numFmtId="0" fontId="7" fillId="8" borderId="23">
      <alignment horizontal="right" vertical="center"/>
    </xf>
    <xf numFmtId="4" fontId="7" fillId="8" borderId="23">
      <alignment horizontal="right" vertical="center"/>
    </xf>
    <xf numFmtId="0" fontId="7" fillId="8" borderId="24">
      <alignment horizontal="right" vertical="center"/>
    </xf>
    <xf numFmtId="4" fontId="7" fillId="8" borderId="24">
      <alignment horizontal="right" vertical="center"/>
    </xf>
    <xf numFmtId="0" fontId="21" fillId="30" borderId="14" applyNumberFormat="0" applyAlignment="0" applyProtection="0"/>
    <xf numFmtId="0" fontId="10" fillId="8" borderId="25">
      <alignment horizontal="left" vertical="center" wrapText="1" indent="2"/>
    </xf>
    <xf numFmtId="0" fontId="10" fillId="0" borderId="25">
      <alignment horizontal="left" vertical="center" wrapText="1" indent="2"/>
    </xf>
    <xf numFmtId="0" fontId="10" fillId="6" borderId="23">
      <alignment horizontal="left" vertical="center"/>
    </xf>
    <xf numFmtId="0" fontId="7" fillId="8" borderId="23">
      <alignment horizontal="right" vertical="center"/>
    </xf>
    <xf numFmtId="0" fontId="33" fillId="17" borderId="14" applyNumberFormat="0" applyAlignment="0" applyProtection="0"/>
    <xf numFmtId="0" fontId="10" fillId="0" borderId="22">
      <alignment horizontal="right" vertical="center"/>
    </xf>
    <xf numFmtId="4" fontId="10" fillId="0" borderId="22">
      <alignment horizontal="right" vertical="center"/>
    </xf>
    <xf numFmtId="0" fontId="25" fillId="0" borderId="16" applyNumberFormat="0" applyFill="0" applyAlignment="0" applyProtection="0"/>
    <xf numFmtId="0" fontId="10" fillId="0" borderId="22" applyNumberFormat="0" applyFill="0" applyAlignment="0" applyProtection="0"/>
    <xf numFmtId="0" fontId="37" fillId="30" borderId="13" applyNumberFormat="0" applyAlignment="0" applyProtection="0"/>
    <xf numFmtId="166" fontId="10" fillId="34" borderId="22" applyNumberFormat="0" applyFont="0" applyBorder="0" applyAlignment="0" applyProtection="0">
      <alignment horizontal="right" vertical="center"/>
    </xf>
    <xf numFmtId="0" fontId="10" fillId="7" borderId="22"/>
    <xf numFmtId="4" fontId="10" fillId="7" borderId="22"/>
    <xf numFmtId="0" fontId="40" fillId="0" borderId="16" applyNumberFormat="0" applyFill="0" applyAlignment="0" applyProtection="0"/>
    <xf numFmtId="4" fontId="7" fillId="8" borderId="22">
      <alignment horizontal="right" vertical="center"/>
    </xf>
    <xf numFmtId="4" fontId="12" fillId="6" borderId="22">
      <alignment horizontal="right" vertical="center"/>
    </xf>
    <xf numFmtId="0" fontId="7" fillId="8" borderId="24">
      <alignment horizontal="right" vertical="center"/>
    </xf>
    <xf numFmtId="49" fontId="9" fillId="0" borderId="22" applyNumberFormat="0" applyFill="0" applyBorder="0" applyProtection="0">
      <alignment horizontal="left" vertical="center"/>
    </xf>
    <xf numFmtId="0" fontId="20" fillId="30" borderId="14" applyNumberFormat="0" applyAlignment="0" applyProtection="0"/>
    <xf numFmtId="0" fontId="7" fillId="8" borderId="22">
      <alignment horizontal="right" vertical="center"/>
    </xf>
    <xf numFmtId="0" fontId="40" fillId="0" borderId="16" applyNumberFormat="0" applyFill="0" applyAlignment="0" applyProtection="0"/>
    <xf numFmtId="4" fontId="7" fillId="8" borderId="22">
      <alignment horizontal="right" vertical="center"/>
    </xf>
    <xf numFmtId="0" fontId="21" fillId="30" borderId="14" applyNumberFormat="0" applyAlignment="0" applyProtection="0"/>
    <xf numFmtId="0" fontId="8" fillId="33" borderId="21" applyNumberFormat="0" applyFont="0" applyAlignment="0" applyProtection="0"/>
    <xf numFmtId="0" fontId="24" fillId="17" borderId="14" applyNumberFormat="0" applyAlignment="0" applyProtection="0"/>
    <xf numFmtId="0" fontId="25" fillId="0" borderId="16" applyNumberFormat="0" applyFill="0" applyAlignment="0" applyProtection="0"/>
    <xf numFmtId="4" fontId="7" fillId="6" borderId="22">
      <alignment horizontal="right" vertical="center"/>
    </xf>
    <xf numFmtId="0" fontId="15" fillId="33" borderId="21" applyNumberFormat="0" applyFont="0" applyAlignment="0" applyProtection="0"/>
    <xf numFmtId="0" fontId="7" fillId="8" borderId="22">
      <alignment horizontal="right" vertical="center"/>
    </xf>
    <xf numFmtId="4" fontId="7" fillId="6" borderId="22">
      <alignment horizontal="right" vertical="center"/>
    </xf>
    <xf numFmtId="0" fontId="7" fillId="8" borderId="23">
      <alignment horizontal="right" vertical="center"/>
    </xf>
    <xf numFmtId="0" fontId="37" fillId="30" borderId="13" applyNumberFormat="0" applyAlignment="0" applyProtection="0"/>
    <xf numFmtId="0" fontId="20" fillId="30" borderId="14" applyNumberFormat="0" applyAlignment="0" applyProtection="0"/>
    <xf numFmtId="49" fontId="9" fillId="0" borderId="22" applyNumberFormat="0" applyFill="0" applyBorder="0" applyProtection="0">
      <alignment horizontal="left" vertical="center"/>
    </xf>
    <xf numFmtId="0" fontId="24" fillId="17" borderId="14" applyNumberFormat="0" applyAlignment="0" applyProtection="0"/>
    <xf numFmtId="4" fontId="10" fillId="0" borderId="22" applyFill="0" applyBorder="0" applyProtection="0">
      <alignment horizontal="right" vertical="center"/>
    </xf>
    <xf numFmtId="0" fontId="7" fillId="8" borderId="22">
      <alignment horizontal="right" vertical="center"/>
    </xf>
    <xf numFmtId="0" fontId="21" fillId="30" borderId="14" applyNumberFormat="0" applyAlignment="0" applyProtection="0"/>
    <xf numFmtId="0" fontId="37" fillId="30" borderId="13" applyNumberFormat="0" applyAlignment="0" applyProtection="0"/>
    <xf numFmtId="49" fontId="10" fillId="0" borderId="23" applyNumberFormat="0" applyFont="0" applyFill="0" applyBorder="0" applyProtection="0">
      <alignment horizontal="left" vertical="center" indent="5"/>
    </xf>
    <xf numFmtId="0" fontId="33" fillId="17" borderId="14" applyNumberFormat="0" applyAlignment="0" applyProtection="0"/>
    <xf numFmtId="0" fontId="7" fillId="8" borderId="23">
      <alignment horizontal="right" vertical="center"/>
    </xf>
    <xf numFmtId="0" fontId="25" fillId="0" borderId="16" applyNumberFormat="0" applyFill="0" applyAlignment="0" applyProtection="0"/>
    <xf numFmtId="0" fontId="10" fillId="0" borderId="22" applyNumberFormat="0" applyFill="0" applyAlignment="0" applyProtection="0"/>
    <xf numFmtId="4" fontId="7" fillId="6" borderId="22">
      <alignment horizontal="right" vertical="center"/>
    </xf>
    <xf numFmtId="0" fontId="20" fillId="30" borderId="14" applyNumberFormat="0" applyAlignment="0" applyProtection="0"/>
    <xf numFmtId="0" fontId="10" fillId="0" borderId="22" applyNumberFormat="0" applyFill="0" applyAlignment="0" applyProtection="0"/>
    <xf numFmtId="4" fontId="7" fillId="8" borderId="22">
      <alignment horizontal="right" vertical="center"/>
    </xf>
    <xf numFmtId="49" fontId="10" fillId="0" borderId="22" applyNumberFormat="0" applyFont="0" applyFill="0" applyBorder="0" applyProtection="0">
      <alignment horizontal="left" vertical="center" indent="2"/>
    </xf>
    <xf numFmtId="49" fontId="10" fillId="0" borderId="23" applyNumberFormat="0" applyFont="0" applyFill="0" applyBorder="0" applyProtection="0">
      <alignment horizontal="left" vertical="center" indent="5"/>
    </xf>
    <xf numFmtId="0" fontId="33" fillId="17" borderId="14" applyNumberFormat="0" applyAlignment="0" applyProtection="0"/>
    <xf numFmtId="0" fontId="10" fillId="0" borderId="25">
      <alignment horizontal="left" vertical="center" wrapText="1" indent="2"/>
    </xf>
    <xf numFmtId="0" fontId="7" fillId="8" borderId="23">
      <alignment horizontal="right" vertical="center"/>
    </xf>
    <xf numFmtId="0" fontId="7" fillId="8" borderId="22">
      <alignment horizontal="right" vertical="center"/>
    </xf>
    <xf numFmtId="4" fontId="10" fillId="0" borderId="22" applyFill="0" applyBorder="0" applyProtection="0">
      <alignment horizontal="right" vertical="center"/>
    </xf>
    <xf numFmtId="49" fontId="9" fillId="0" borderId="22" applyNumberFormat="0" applyFill="0" applyBorder="0" applyProtection="0">
      <alignment horizontal="left" vertical="center"/>
    </xf>
    <xf numFmtId="0" fontId="15" fillId="33" borderId="21" applyNumberFormat="0" applyFont="0" applyAlignment="0" applyProtection="0"/>
    <xf numFmtId="0" fontId="33" fillId="17" borderId="14" applyNumberFormat="0" applyAlignment="0" applyProtection="0"/>
    <xf numFmtId="4" fontId="7" fillId="6" borderId="22">
      <alignment horizontal="right" vertical="center"/>
    </xf>
    <xf numFmtId="4" fontId="7" fillId="8" borderId="22">
      <alignment horizontal="right" vertical="center"/>
    </xf>
    <xf numFmtId="4" fontId="7" fillId="8" borderId="22">
      <alignment horizontal="right" vertical="center"/>
    </xf>
    <xf numFmtId="4" fontId="10" fillId="7" borderId="22"/>
    <xf numFmtId="0" fontId="40" fillId="0" borderId="16" applyNumberFormat="0" applyFill="0" applyAlignment="0" applyProtection="0"/>
    <xf numFmtId="0" fontId="20" fillId="30" borderId="14" applyNumberFormat="0" applyAlignment="0" applyProtection="0"/>
    <xf numFmtId="4" fontId="7" fillId="6" borderId="22">
      <alignment horizontal="right" vertical="center"/>
    </xf>
    <xf numFmtId="0" fontId="10" fillId="6" borderId="23">
      <alignment horizontal="left" vertical="center"/>
    </xf>
    <xf numFmtId="4" fontId="10" fillId="0" borderId="22" applyFill="0" applyBorder="0" applyProtection="0">
      <alignment horizontal="right" vertical="center"/>
    </xf>
    <xf numFmtId="4" fontId="10" fillId="0" borderId="22" applyFill="0" applyBorder="0" applyProtection="0">
      <alignment horizontal="right" vertical="center"/>
    </xf>
    <xf numFmtId="0" fontId="40" fillId="0" borderId="16" applyNumberFormat="0" applyFill="0" applyAlignment="0" applyProtection="0"/>
    <xf numFmtId="0" fontId="37" fillId="30" borderId="13" applyNumberFormat="0" applyAlignment="0" applyProtection="0"/>
    <xf numFmtId="0" fontId="18" fillId="30" borderId="13" applyNumberFormat="0" applyAlignment="0" applyProtection="0"/>
    <xf numFmtId="0" fontId="20" fillId="30" borderId="14" applyNumberFormat="0" applyAlignment="0" applyProtection="0"/>
    <xf numFmtId="0" fontId="25" fillId="0" borderId="16" applyNumberFormat="0" applyFill="0" applyAlignment="0" applyProtection="0"/>
    <xf numFmtId="0" fontId="21" fillId="30" borderId="14" applyNumberFormat="0" applyAlignment="0" applyProtection="0"/>
    <xf numFmtId="0" fontId="10" fillId="7" borderId="22"/>
    <xf numFmtId="0" fontId="12" fillId="6" borderId="22">
      <alignment horizontal="right" vertical="center"/>
    </xf>
    <xf numFmtId="0" fontId="24" fillId="17" borderId="14" applyNumberFormat="0" applyAlignment="0" applyProtection="0"/>
    <xf numFmtId="0" fontId="18" fillId="30" borderId="13" applyNumberFormat="0" applyAlignment="0" applyProtection="0"/>
    <xf numFmtId="0" fontId="25" fillId="0" borderId="16" applyNumberFormat="0" applyFill="0" applyAlignment="0" applyProtection="0"/>
    <xf numFmtId="4" fontId="7" fillId="8" borderId="24">
      <alignment horizontal="right" vertical="center"/>
    </xf>
    <xf numFmtId="4" fontId="12" fillId="6" borderId="22">
      <alignment horizontal="right" vertical="center"/>
    </xf>
    <xf numFmtId="166" fontId="10" fillId="34" borderId="22" applyNumberFormat="0" applyFont="0" applyBorder="0" applyAlignment="0" applyProtection="0">
      <alignment horizontal="right" vertical="center"/>
    </xf>
    <xf numFmtId="0" fontId="7" fillId="8" borderId="24">
      <alignment horizontal="right" vertical="center"/>
    </xf>
    <xf numFmtId="0" fontId="20" fillId="30" borderId="14" applyNumberFormat="0" applyAlignment="0" applyProtection="0"/>
    <xf numFmtId="0" fontId="15" fillId="33" borderId="21" applyNumberFormat="0" applyFont="0" applyAlignment="0" applyProtection="0"/>
    <xf numFmtId="0" fontId="10" fillId="8" borderId="25">
      <alignment horizontal="left" vertical="center" wrapText="1" indent="2"/>
    </xf>
    <xf numFmtId="0" fontId="25" fillId="0" borderId="16" applyNumberFormat="0" applyFill="0" applyAlignment="0" applyProtection="0"/>
    <xf numFmtId="0" fontId="10" fillId="0" borderId="25">
      <alignment horizontal="left" vertical="center" wrapText="1" indent="2"/>
    </xf>
    <xf numFmtId="4" fontId="7" fillId="8" borderId="24">
      <alignment horizontal="right" vertical="center"/>
    </xf>
    <xf numFmtId="0" fontId="40" fillId="0" borderId="16" applyNumberFormat="0" applyFill="0" applyAlignment="0" applyProtection="0"/>
    <xf numFmtId="0" fontId="24" fillId="17" borderId="14" applyNumberFormat="0" applyAlignment="0" applyProtection="0"/>
    <xf numFmtId="4" fontId="7" fillId="8" borderId="23">
      <alignment horizontal="right" vertical="center"/>
    </xf>
    <xf numFmtId="0" fontId="7" fillId="8" borderId="22">
      <alignment horizontal="right" vertical="center"/>
    </xf>
    <xf numFmtId="0" fontId="10" fillId="0" borderId="25">
      <alignment horizontal="left" vertical="center" wrapText="1" indent="2"/>
    </xf>
    <xf numFmtId="0" fontId="10" fillId="8" borderId="25">
      <alignment horizontal="left" vertical="center" wrapText="1" indent="2"/>
    </xf>
    <xf numFmtId="0" fontId="10" fillId="0" borderId="25">
      <alignment horizontal="left" vertical="center" wrapText="1" indent="2"/>
    </xf>
    <xf numFmtId="0" fontId="10" fillId="7" borderId="22"/>
    <xf numFmtId="0" fontId="21" fillId="30" borderId="14" applyNumberFormat="0" applyAlignment="0" applyProtection="0"/>
    <xf numFmtId="49" fontId="10" fillId="0" borderId="22" applyNumberFormat="0" applyFont="0" applyFill="0" applyBorder="0" applyProtection="0">
      <alignment horizontal="left" vertical="center" indent="2"/>
    </xf>
    <xf numFmtId="4" fontId="7" fillId="8" borderId="24">
      <alignment horizontal="right" vertical="center"/>
    </xf>
    <xf numFmtId="0" fontId="10" fillId="0" borderId="22">
      <alignment horizontal="right" vertical="center"/>
    </xf>
    <xf numFmtId="0" fontId="24" fillId="17" borderId="14" applyNumberFormat="0" applyAlignment="0" applyProtection="0"/>
    <xf numFmtId="0" fontId="10" fillId="7" borderId="22"/>
    <xf numFmtId="0" fontId="10" fillId="8" borderId="25">
      <alignment horizontal="left" vertical="center" wrapText="1" indent="2"/>
    </xf>
    <xf numFmtId="0" fontId="15" fillId="33" borderId="21" applyNumberFormat="0" applyFont="0" applyAlignment="0" applyProtection="0"/>
    <xf numFmtId="0" fontId="18" fillId="30" borderId="13" applyNumberFormat="0" applyAlignment="0" applyProtection="0"/>
    <xf numFmtId="0" fontId="33" fillId="17" borderId="14" applyNumberFormat="0" applyAlignment="0" applyProtection="0"/>
    <xf numFmtId="0" fontId="20" fillId="30" borderId="14" applyNumberFormat="0" applyAlignment="0" applyProtection="0"/>
    <xf numFmtId="4" fontId="7" fillId="8" borderId="22">
      <alignment horizontal="right" vertical="center"/>
    </xf>
    <xf numFmtId="0" fontId="10" fillId="0" borderId="22">
      <alignment horizontal="right" vertical="center"/>
    </xf>
    <xf numFmtId="0" fontId="37" fillId="30" borderId="13" applyNumberFormat="0" applyAlignment="0" applyProtection="0"/>
    <xf numFmtId="0" fontId="21" fillId="30" borderId="14" applyNumberFormat="0" applyAlignment="0" applyProtection="0"/>
    <xf numFmtId="0" fontId="25" fillId="0" borderId="16" applyNumberFormat="0" applyFill="0" applyAlignment="0" applyProtection="0"/>
    <xf numFmtId="0" fontId="12" fillId="6" borderId="22">
      <alignment horizontal="right" vertical="center"/>
    </xf>
    <xf numFmtId="166" fontId="10" fillId="34" borderId="22" applyNumberFormat="0" applyFont="0" applyBorder="0" applyAlignment="0" applyProtection="0">
      <alignment horizontal="right" vertical="center"/>
    </xf>
    <xf numFmtId="4" fontId="7" fillId="8" borderId="24">
      <alignment horizontal="right" vertical="center"/>
    </xf>
    <xf numFmtId="4" fontId="10" fillId="7" borderId="22"/>
    <xf numFmtId="4" fontId="7" fillId="8" borderId="23">
      <alignment horizontal="right" vertical="center"/>
    </xf>
    <xf numFmtId="0" fontId="40" fillId="0" borderId="16" applyNumberFormat="0" applyFill="0" applyAlignment="0" applyProtection="0"/>
    <xf numFmtId="4" fontId="10" fillId="0" borderId="22">
      <alignment horizontal="right" vertical="center"/>
    </xf>
    <xf numFmtId="0" fontId="7" fillId="6" borderId="22">
      <alignment horizontal="right" vertical="center"/>
    </xf>
    <xf numFmtId="0" fontId="10" fillId="7" borderId="22"/>
    <xf numFmtId="0" fontId="10" fillId="8" borderId="25">
      <alignment horizontal="left" vertical="center" wrapText="1" indent="2"/>
    </xf>
    <xf numFmtId="0" fontId="7" fillId="8" borderId="24">
      <alignment horizontal="right" vertical="center"/>
    </xf>
    <xf numFmtId="0" fontId="10" fillId="0" borderId="22" applyNumberFormat="0" applyFill="0" applyAlignment="0" applyProtection="0"/>
    <xf numFmtId="0" fontId="10" fillId="0" borderId="25">
      <alignment horizontal="left" vertical="center" wrapText="1" indent="2"/>
    </xf>
    <xf numFmtId="49" fontId="9" fillId="0" borderId="22" applyNumberFormat="0" applyFill="0" applyBorder="0" applyProtection="0">
      <alignment horizontal="left" vertical="center"/>
    </xf>
    <xf numFmtId="0" fontId="7" fillId="8" borderId="24">
      <alignment horizontal="right" vertical="center"/>
    </xf>
    <xf numFmtId="0" fontId="20" fillId="30" borderId="14" applyNumberFormat="0" applyAlignment="0" applyProtection="0"/>
    <xf numFmtId="4" fontId="7" fillId="8" borderId="22">
      <alignment horizontal="right" vertical="center"/>
    </xf>
    <xf numFmtId="0" fontId="10" fillId="8" borderId="25">
      <alignment horizontal="left" vertical="center" wrapText="1" indent="2"/>
    </xf>
    <xf numFmtId="0" fontId="33" fillId="17" borderId="14" applyNumberFormat="0" applyAlignment="0" applyProtection="0"/>
    <xf numFmtId="4" fontId="7" fillId="8" borderId="22">
      <alignment horizontal="right" vertical="center"/>
    </xf>
    <xf numFmtId="0" fontId="10" fillId="0" borderId="25">
      <alignment horizontal="left" vertical="center" wrapText="1" indent="2"/>
    </xf>
    <xf numFmtId="49" fontId="10" fillId="0" borderId="22" applyNumberFormat="0" applyFont="0" applyFill="0" applyBorder="0" applyProtection="0">
      <alignment horizontal="left" vertical="center" indent="2"/>
    </xf>
    <xf numFmtId="0" fontId="7" fillId="6" borderId="22">
      <alignment horizontal="right" vertical="center"/>
    </xf>
    <xf numFmtId="0" fontId="18" fillId="30" borderId="13" applyNumberFormat="0" applyAlignment="0" applyProtection="0"/>
    <xf numFmtId="4" fontId="7" fillId="8" borderId="22">
      <alignment horizontal="right" vertical="center"/>
    </xf>
    <xf numFmtId="0" fontId="10" fillId="7" borderId="22"/>
    <xf numFmtId="0" fontId="20" fillId="30" borderId="14" applyNumberFormat="0" applyAlignment="0" applyProtection="0"/>
    <xf numFmtId="0" fontId="7" fillId="6" borderId="22">
      <alignment horizontal="right" vertical="center"/>
    </xf>
    <xf numFmtId="0" fontId="10" fillId="0" borderId="22">
      <alignment horizontal="right" vertical="center"/>
    </xf>
    <xf numFmtId="0" fontId="40" fillId="0" borderId="16" applyNumberFormat="0" applyFill="0" applyAlignment="0" applyProtection="0"/>
    <xf numFmtId="0" fontId="10" fillId="6" borderId="23">
      <alignment horizontal="left" vertical="center"/>
    </xf>
    <xf numFmtId="0" fontId="33" fillId="17" borderId="14" applyNumberFormat="0" applyAlignment="0" applyProtection="0"/>
    <xf numFmtId="166" fontId="10" fillId="34" borderId="22" applyNumberFormat="0" applyFont="0" applyBorder="0" applyAlignment="0" applyProtection="0">
      <alignment horizontal="right" vertical="center"/>
    </xf>
    <xf numFmtId="0" fontId="15" fillId="33" borderId="21" applyNumberFormat="0" applyFont="0" applyAlignment="0" applyProtection="0"/>
    <xf numFmtId="0" fontId="10" fillId="0" borderId="25">
      <alignment horizontal="left" vertical="center" wrapText="1" indent="2"/>
    </xf>
    <xf numFmtId="4" fontId="10" fillId="7" borderId="22"/>
    <xf numFmtId="49" fontId="9" fillId="0" borderId="22" applyNumberFormat="0" applyFill="0" applyBorder="0" applyProtection="0">
      <alignment horizontal="left" vertical="center"/>
    </xf>
    <xf numFmtId="0" fontId="10" fillId="0" borderId="22">
      <alignment horizontal="right" vertical="center"/>
    </xf>
    <xf numFmtId="4" fontId="7" fillId="8" borderId="24">
      <alignment horizontal="right" vertical="center"/>
    </xf>
    <xf numFmtId="4" fontId="7" fillId="8" borderId="22">
      <alignment horizontal="right" vertical="center"/>
    </xf>
    <xf numFmtId="4" fontId="7" fillId="8" borderId="22">
      <alignment horizontal="right" vertical="center"/>
    </xf>
    <xf numFmtId="0" fontId="12" fillId="6" borderId="22">
      <alignment horizontal="right" vertical="center"/>
    </xf>
    <xf numFmtId="0" fontId="7" fillId="6" borderId="22">
      <alignment horizontal="right" vertical="center"/>
    </xf>
    <xf numFmtId="49" fontId="10" fillId="0" borderId="22" applyNumberFormat="0" applyFont="0" applyFill="0" applyBorder="0" applyProtection="0">
      <alignment horizontal="left" vertical="center" indent="2"/>
    </xf>
    <xf numFmtId="0" fontId="33" fillId="17" borderId="14" applyNumberFormat="0" applyAlignment="0" applyProtection="0"/>
    <xf numFmtId="0" fontId="18" fillId="30" borderId="13" applyNumberFormat="0" applyAlignment="0" applyProtection="0"/>
    <xf numFmtId="49" fontId="10" fillId="0" borderId="22" applyNumberFormat="0" applyFont="0" applyFill="0" applyBorder="0" applyProtection="0">
      <alignment horizontal="left" vertical="center" indent="2"/>
    </xf>
    <xf numFmtId="0" fontId="24" fillId="17" borderId="14" applyNumberFormat="0" applyAlignment="0" applyProtection="0"/>
    <xf numFmtId="4" fontId="10" fillId="0" borderId="22" applyFill="0" applyBorder="0" applyProtection="0">
      <alignment horizontal="right" vertical="center"/>
    </xf>
    <xf numFmtId="0" fontId="21" fillId="30" borderId="14" applyNumberFormat="0" applyAlignment="0" applyProtection="0"/>
    <xf numFmtId="0" fontId="40" fillId="0" borderId="16" applyNumberFormat="0" applyFill="0" applyAlignment="0" applyProtection="0"/>
    <xf numFmtId="0" fontId="37" fillId="30" borderId="13" applyNumberFormat="0" applyAlignment="0" applyProtection="0"/>
    <xf numFmtId="0" fontId="10" fillId="0" borderId="22" applyNumberFormat="0" applyFill="0" applyAlignment="0" applyProtection="0"/>
    <xf numFmtId="4" fontId="10" fillId="0" borderId="22">
      <alignment horizontal="right" vertical="center"/>
    </xf>
    <xf numFmtId="0" fontId="10" fillId="0" borderId="22">
      <alignment horizontal="right" vertical="center"/>
    </xf>
    <xf numFmtId="0" fontId="33" fillId="17" borderId="14" applyNumberFormat="0" applyAlignment="0" applyProtection="0"/>
    <xf numFmtId="0" fontId="18" fillId="30" borderId="13" applyNumberFormat="0" applyAlignment="0" applyProtection="0"/>
    <xf numFmtId="0" fontId="20" fillId="30" borderId="14" applyNumberFormat="0" applyAlignment="0" applyProtection="0"/>
    <xf numFmtId="0" fontId="10" fillId="8" borderId="25">
      <alignment horizontal="left" vertical="center" wrapText="1" indent="2"/>
    </xf>
    <xf numFmtId="0" fontId="21" fillId="30" borderId="14" applyNumberFormat="0" applyAlignment="0" applyProtection="0"/>
    <xf numFmtId="0" fontId="21" fillId="30" borderId="14" applyNumberFormat="0" applyAlignment="0" applyProtection="0"/>
    <xf numFmtId="4" fontId="7" fillId="8" borderId="23">
      <alignment horizontal="right" vertical="center"/>
    </xf>
    <xf numFmtId="0" fontId="7" fillId="8" borderId="23">
      <alignment horizontal="right" vertical="center"/>
    </xf>
    <xf numFmtId="0" fontId="7" fillId="8" borderId="22">
      <alignment horizontal="right" vertical="center"/>
    </xf>
    <xf numFmtId="4" fontId="12" fillId="6" borderId="22">
      <alignment horizontal="right" vertical="center"/>
    </xf>
    <xf numFmtId="0" fontId="24" fillId="17" borderId="14" applyNumberFormat="0" applyAlignment="0" applyProtection="0"/>
    <xf numFmtId="0" fontId="25" fillId="0" borderId="16" applyNumberFormat="0" applyFill="0" applyAlignment="0" applyProtection="0"/>
    <xf numFmtId="0" fontId="40" fillId="0" borderId="16" applyNumberFormat="0" applyFill="0" applyAlignment="0" applyProtection="0"/>
    <xf numFmtId="0" fontId="15" fillId="33" borderId="21" applyNumberFormat="0" applyFont="0" applyAlignment="0" applyProtection="0"/>
    <xf numFmtId="0" fontId="33" fillId="17" borderId="14" applyNumberFormat="0" applyAlignment="0" applyProtection="0"/>
    <xf numFmtId="49" fontId="9" fillId="0" borderId="22" applyNumberFormat="0" applyFill="0" applyBorder="0" applyProtection="0">
      <alignment horizontal="left" vertical="center"/>
    </xf>
    <xf numFmtId="0" fontId="10" fillId="8" borderId="25">
      <alignment horizontal="left" vertical="center" wrapText="1" indent="2"/>
    </xf>
    <xf numFmtId="0" fontId="21" fillId="30" borderId="14" applyNumberFormat="0" applyAlignment="0" applyProtection="0"/>
    <xf numFmtId="0" fontId="10" fillId="0" borderId="25">
      <alignment horizontal="left" vertical="center" wrapText="1" indent="2"/>
    </xf>
    <xf numFmtId="0" fontId="15" fillId="33" borderId="21" applyNumberFormat="0" applyFont="0" applyAlignment="0" applyProtection="0"/>
    <xf numFmtId="0" fontId="8" fillId="33" borderId="21" applyNumberFormat="0" applyFont="0" applyAlignment="0" applyProtection="0"/>
    <xf numFmtId="0" fontId="37" fillId="30" borderId="13" applyNumberFormat="0" applyAlignment="0" applyProtection="0"/>
    <xf numFmtId="0" fontId="40" fillId="0" borderId="16" applyNumberFormat="0" applyFill="0" applyAlignment="0" applyProtection="0"/>
    <xf numFmtId="4" fontId="10" fillId="7" borderId="22"/>
    <xf numFmtId="0" fontId="7" fillId="8" borderId="22">
      <alignment horizontal="right" vertical="center"/>
    </xf>
    <xf numFmtId="0" fontId="40" fillId="0" borderId="16" applyNumberFormat="0" applyFill="0" applyAlignment="0" applyProtection="0"/>
    <xf numFmtId="4" fontId="7" fillId="8" borderId="24">
      <alignment horizontal="right" vertical="center"/>
    </xf>
    <xf numFmtId="0" fontId="20" fillId="30" borderId="14" applyNumberFormat="0" applyAlignment="0" applyProtection="0"/>
    <xf numFmtId="0" fontId="7" fillId="8" borderId="23">
      <alignment horizontal="right" vertical="center"/>
    </xf>
    <xf numFmtId="0" fontId="21" fillId="30" borderId="14" applyNumberFormat="0" applyAlignment="0" applyProtection="0"/>
    <xf numFmtId="0" fontId="25" fillId="0" borderId="16" applyNumberFormat="0" applyFill="0" applyAlignment="0" applyProtection="0"/>
    <xf numFmtId="0" fontId="15" fillId="33" borderId="21" applyNumberFormat="0" applyFont="0" applyAlignment="0" applyProtection="0"/>
    <xf numFmtId="4" fontId="7" fillId="8" borderId="23">
      <alignment horizontal="right" vertical="center"/>
    </xf>
    <xf numFmtId="0" fontId="10" fillId="8" borderId="25">
      <alignment horizontal="left" vertical="center" wrapText="1" indent="2"/>
    </xf>
    <xf numFmtId="0" fontId="10" fillId="7" borderId="22"/>
    <xf numFmtId="166" fontId="10" fillId="34" borderId="22" applyNumberFormat="0" applyFont="0" applyBorder="0" applyAlignment="0" applyProtection="0">
      <alignment horizontal="right" vertical="center"/>
    </xf>
    <xf numFmtId="0" fontId="10" fillId="0" borderId="22" applyNumberFormat="0" applyFill="0" applyAlignment="0" applyProtection="0"/>
    <xf numFmtId="4" fontId="10" fillId="0" borderId="22" applyFill="0" applyBorder="0" applyProtection="0">
      <alignment horizontal="right" vertical="center"/>
    </xf>
    <xf numFmtId="4" fontId="7" fillId="6" borderId="22">
      <alignment horizontal="right" vertical="center"/>
    </xf>
    <xf numFmtId="0" fontId="25" fillId="0" borderId="16" applyNumberFormat="0" applyFill="0" applyAlignment="0" applyProtection="0"/>
    <xf numFmtId="49" fontId="9" fillId="0" borderId="22" applyNumberFormat="0" applyFill="0" applyBorder="0" applyProtection="0">
      <alignment horizontal="left" vertical="center"/>
    </xf>
    <xf numFmtId="49" fontId="10" fillId="0" borderId="23" applyNumberFormat="0" applyFont="0" applyFill="0" applyBorder="0" applyProtection="0">
      <alignment horizontal="left" vertical="center" indent="5"/>
    </xf>
    <xf numFmtId="0" fontId="10" fillId="6" borderId="23">
      <alignment horizontal="left" vertical="center"/>
    </xf>
    <xf numFmtId="0" fontId="21" fillId="30" borderId="14" applyNumberFormat="0" applyAlignment="0" applyProtection="0"/>
    <xf numFmtId="4" fontId="7" fillId="8" borderId="24">
      <alignment horizontal="right" vertical="center"/>
    </xf>
    <xf numFmtId="0" fontId="33" fillId="17" borderId="14" applyNumberFormat="0" applyAlignment="0" applyProtection="0"/>
    <xf numFmtId="0" fontId="33" fillId="17" borderId="14" applyNumberFormat="0" applyAlignment="0" applyProtection="0"/>
    <xf numFmtId="0" fontId="15" fillId="33" borderId="21" applyNumberFormat="0" applyFont="0" applyAlignment="0" applyProtection="0"/>
    <xf numFmtId="0" fontId="37" fillId="30" borderId="13" applyNumberFormat="0" applyAlignment="0" applyProtection="0"/>
    <xf numFmtId="0" fontId="40" fillId="0" borderId="16" applyNumberFormat="0" applyFill="0" applyAlignment="0" applyProtection="0"/>
    <xf numFmtId="0" fontId="7" fillId="8" borderId="22">
      <alignment horizontal="right" vertical="center"/>
    </xf>
    <xf numFmtId="0" fontId="8" fillId="33" borderId="21" applyNumberFormat="0" applyFont="0" applyAlignment="0" applyProtection="0"/>
    <xf numFmtId="4" fontId="10" fillId="0" borderId="22">
      <alignment horizontal="right" vertical="center"/>
    </xf>
    <xf numFmtId="0" fontId="40" fillId="0" borderId="16" applyNumberFormat="0" applyFill="0" applyAlignment="0" applyProtection="0"/>
    <xf numFmtId="0" fontId="7" fillId="8" borderId="22">
      <alignment horizontal="right" vertical="center"/>
    </xf>
    <xf numFmtId="0" fontId="7" fillId="8" borderId="22">
      <alignment horizontal="right" vertical="center"/>
    </xf>
    <xf numFmtId="4" fontId="12" fillId="6" borderId="22">
      <alignment horizontal="right" vertical="center"/>
    </xf>
    <xf numFmtId="0" fontId="7" fillId="6" borderId="22">
      <alignment horizontal="right" vertical="center"/>
    </xf>
    <xf numFmtId="4" fontId="7" fillId="6" borderId="22">
      <alignment horizontal="right" vertical="center"/>
    </xf>
    <xf numFmtId="0" fontId="12" fillId="6" borderId="22">
      <alignment horizontal="right" vertical="center"/>
    </xf>
    <xf numFmtId="4" fontId="12" fillId="6" borderId="22">
      <alignment horizontal="right" vertical="center"/>
    </xf>
    <xf numFmtId="0" fontId="7" fillId="8" borderId="22">
      <alignment horizontal="right" vertical="center"/>
    </xf>
    <xf numFmtId="4" fontId="7" fillId="8" borderId="22">
      <alignment horizontal="right" vertical="center"/>
    </xf>
    <xf numFmtId="0" fontId="7" fillId="8" borderId="22">
      <alignment horizontal="right" vertical="center"/>
    </xf>
    <xf numFmtId="4" fontId="7" fillId="8" borderId="22">
      <alignment horizontal="right" vertical="center"/>
    </xf>
    <xf numFmtId="0" fontId="7" fillId="8" borderId="23">
      <alignment horizontal="right" vertical="center"/>
    </xf>
    <xf numFmtId="4" fontId="7" fillId="8" borderId="23">
      <alignment horizontal="right" vertical="center"/>
    </xf>
    <xf numFmtId="0" fontId="7" fillId="8" borderId="24">
      <alignment horizontal="right" vertical="center"/>
    </xf>
    <xf numFmtId="4" fontId="7" fillId="8" borderId="24">
      <alignment horizontal="right" vertical="center"/>
    </xf>
    <xf numFmtId="0" fontId="21" fillId="30" borderId="14" applyNumberFormat="0" applyAlignment="0" applyProtection="0"/>
    <xf numFmtId="0" fontId="10" fillId="8" borderId="25">
      <alignment horizontal="left" vertical="center" wrapText="1" indent="2"/>
    </xf>
    <xf numFmtId="0" fontId="10" fillId="0" borderId="25">
      <alignment horizontal="left" vertical="center" wrapText="1" indent="2"/>
    </xf>
    <xf numFmtId="0" fontId="10" fillId="6" borderId="23">
      <alignment horizontal="left" vertical="center"/>
    </xf>
    <xf numFmtId="0" fontId="33" fillId="17" borderId="14" applyNumberFormat="0" applyAlignment="0" applyProtection="0"/>
    <xf numFmtId="0" fontId="10" fillId="0" borderId="22">
      <alignment horizontal="right" vertical="center"/>
    </xf>
    <xf numFmtId="4" fontId="10" fillId="0" borderId="22">
      <alignment horizontal="right" vertical="center"/>
    </xf>
    <xf numFmtId="0" fontId="10" fillId="0" borderId="22" applyNumberFormat="0" applyFill="0" applyAlignment="0" applyProtection="0"/>
    <xf numFmtId="0" fontId="37" fillId="30" borderId="13" applyNumberFormat="0" applyAlignment="0" applyProtection="0"/>
    <xf numFmtId="166" fontId="10" fillId="34" borderId="22" applyNumberFormat="0" applyFont="0" applyBorder="0" applyAlignment="0" applyProtection="0">
      <alignment horizontal="right" vertical="center"/>
    </xf>
    <xf numFmtId="0" fontId="10" fillId="7" borderId="22"/>
    <xf numFmtId="4" fontId="10" fillId="7" borderId="22"/>
    <xf numFmtId="0" fontId="40" fillId="0" borderId="16" applyNumberFormat="0" applyFill="0" applyAlignment="0" applyProtection="0"/>
    <xf numFmtId="0" fontId="8" fillId="33" borderId="21" applyNumberFormat="0" applyFont="0" applyAlignment="0" applyProtection="0"/>
    <xf numFmtId="0" fontId="15" fillId="33" borderId="21" applyNumberFormat="0" applyFont="0" applyAlignment="0" applyProtection="0"/>
    <xf numFmtId="0" fontId="10" fillId="0" borderId="22" applyNumberFormat="0" applyFill="0" applyAlignment="0" applyProtection="0"/>
    <xf numFmtId="0" fontId="25" fillId="0" borderId="16" applyNumberFormat="0" applyFill="0" applyAlignment="0" applyProtection="0"/>
    <xf numFmtId="0" fontId="40" fillId="0" borderId="16" applyNumberFormat="0" applyFill="0" applyAlignment="0" applyProtection="0"/>
    <xf numFmtId="0" fontId="24" fillId="17" borderId="14" applyNumberFormat="0" applyAlignment="0" applyProtection="0"/>
    <xf numFmtId="0" fontId="21" fillId="30" borderId="14" applyNumberFormat="0" applyAlignment="0" applyProtection="0"/>
    <xf numFmtId="4" fontId="12" fillId="6" borderId="22">
      <alignment horizontal="right" vertical="center"/>
    </xf>
    <xf numFmtId="0" fontId="7" fillId="6" borderId="22">
      <alignment horizontal="right" vertical="center"/>
    </xf>
    <xf numFmtId="166" fontId="10" fillId="34" borderId="22" applyNumberFormat="0" applyFont="0" applyBorder="0" applyAlignment="0" applyProtection="0">
      <alignment horizontal="right" vertical="center"/>
    </xf>
    <xf numFmtId="0" fontId="25" fillId="0" borderId="16" applyNumberFormat="0" applyFill="0" applyAlignment="0" applyProtection="0"/>
    <xf numFmtId="49" fontId="10" fillId="0" borderId="22" applyNumberFormat="0" applyFont="0" applyFill="0" applyBorder="0" applyProtection="0">
      <alignment horizontal="left" vertical="center" indent="2"/>
    </xf>
    <xf numFmtId="49" fontId="10" fillId="0" borderId="23" applyNumberFormat="0" applyFont="0" applyFill="0" applyBorder="0" applyProtection="0">
      <alignment horizontal="left" vertical="center" indent="5"/>
    </xf>
    <xf numFmtId="49" fontId="10" fillId="0" borderId="22" applyNumberFormat="0" applyFont="0" applyFill="0" applyBorder="0" applyProtection="0">
      <alignment horizontal="left" vertical="center" indent="2"/>
    </xf>
    <xf numFmtId="4" fontId="10" fillId="0" borderId="22" applyFill="0" applyBorder="0" applyProtection="0">
      <alignment horizontal="right" vertical="center"/>
    </xf>
    <xf numFmtId="49" fontId="9" fillId="0" borderId="22" applyNumberFormat="0" applyFill="0" applyBorder="0" applyProtection="0">
      <alignment horizontal="left" vertical="center"/>
    </xf>
    <xf numFmtId="0" fontId="10" fillId="0" borderId="25">
      <alignment horizontal="left" vertical="center" wrapText="1" indent="2"/>
    </xf>
    <xf numFmtId="0" fontId="37" fillId="30" borderId="13" applyNumberFormat="0" applyAlignment="0" applyProtection="0"/>
    <xf numFmtId="0" fontId="7" fillId="8" borderId="24">
      <alignment horizontal="right" vertical="center"/>
    </xf>
    <xf numFmtId="0" fontId="24" fillId="17" borderId="14" applyNumberFormat="0" applyAlignment="0" applyProtection="0"/>
    <xf numFmtId="0" fontId="7" fillId="8" borderId="24">
      <alignment horizontal="right" vertical="center"/>
    </xf>
    <xf numFmtId="4" fontId="7" fillId="8" borderId="22">
      <alignment horizontal="right" vertical="center"/>
    </xf>
    <xf numFmtId="0" fontId="7" fillId="8" borderId="22">
      <alignment horizontal="right" vertical="center"/>
    </xf>
    <xf numFmtId="0" fontId="18" fillId="30" borderId="13" applyNumberFormat="0" applyAlignment="0" applyProtection="0"/>
    <xf numFmtId="0" fontId="20" fillId="30" borderId="14" applyNumberFormat="0" applyAlignment="0" applyProtection="0"/>
    <xf numFmtId="0" fontId="25" fillId="0" borderId="16" applyNumberFormat="0" applyFill="0" applyAlignment="0" applyProtection="0"/>
    <xf numFmtId="0" fontId="10" fillId="7" borderId="22"/>
    <xf numFmtId="4" fontId="10" fillId="7" borderId="22"/>
    <xf numFmtId="4" fontId="7" fillId="8" borderId="22">
      <alignment horizontal="right" vertical="center"/>
    </xf>
    <xf numFmtId="0" fontId="12" fillId="6" borderId="22">
      <alignment horizontal="right" vertical="center"/>
    </xf>
    <xf numFmtId="0" fontId="24" fillId="17" borderId="14" applyNumberFormat="0" applyAlignment="0" applyProtection="0"/>
    <xf numFmtId="0" fontId="21" fillId="30" borderId="14" applyNumberFormat="0" applyAlignment="0" applyProtection="0"/>
    <xf numFmtId="4" fontId="10" fillId="0" borderId="22">
      <alignment horizontal="right" vertical="center"/>
    </xf>
    <xf numFmtId="0" fontId="10" fillId="8" borderId="25">
      <alignment horizontal="left" vertical="center" wrapText="1" indent="2"/>
    </xf>
    <xf numFmtId="0" fontId="10" fillId="0" borderId="25">
      <alignment horizontal="left" vertical="center" wrapText="1" indent="2"/>
    </xf>
    <xf numFmtId="0" fontId="37" fillId="30" borderId="13" applyNumberFormat="0" applyAlignment="0" applyProtection="0"/>
    <xf numFmtId="0" fontId="33" fillId="17" borderId="14" applyNumberFormat="0" applyAlignment="0" applyProtection="0"/>
    <xf numFmtId="0" fontId="20" fillId="30" borderId="14" applyNumberFormat="0" applyAlignment="0" applyProtection="0"/>
    <xf numFmtId="0" fontId="18" fillId="30" borderId="13" applyNumberFormat="0" applyAlignment="0" applyProtection="0"/>
    <xf numFmtId="0" fontId="7" fillId="8" borderId="24">
      <alignment horizontal="right" vertical="center"/>
    </xf>
    <xf numFmtId="0" fontId="12" fillId="6" borderId="22">
      <alignment horizontal="right" vertical="center"/>
    </xf>
    <xf numFmtId="4" fontId="7" fillId="6" borderId="22">
      <alignment horizontal="right" vertical="center"/>
    </xf>
    <xf numFmtId="4" fontId="7" fillId="8" borderId="22">
      <alignment horizontal="right" vertical="center"/>
    </xf>
    <xf numFmtId="49" fontId="10" fillId="0" borderId="23" applyNumberFormat="0" applyFont="0" applyFill="0" applyBorder="0" applyProtection="0">
      <alignment horizontal="left" vertical="center" indent="5"/>
    </xf>
    <xf numFmtId="4" fontId="10" fillId="0" borderId="22" applyFill="0" applyBorder="0" applyProtection="0">
      <alignment horizontal="right" vertical="center"/>
    </xf>
    <xf numFmtId="4" fontId="7" fillId="6" borderId="22">
      <alignment horizontal="right" vertical="center"/>
    </xf>
    <xf numFmtId="0" fontId="33" fillId="17" borderId="14" applyNumberFormat="0" applyAlignment="0" applyProtection="0"/>
    <xf numFmtId="0" fontId="24" fillId="17" borderId="14" applyNumberFormat="0" applyAlignment="0" applyProtection="0"/>
    <xf numFmtId="0" fontId="20" fillId="30" borderId="14" applyNumberFormat="0" applyAlignment="0" applyProtection="0"/>
    <xf numFmtId="0" fontId="10" fillId="8" borderId="25">
      <alignment horizontal="left" vertical="center" wrapText="1" indent="2"/>
    </xf>
    <xf numFmtId="0" fontId="10" fillId="0" borderId="25">
      <alignment horizontal="left" vertical="center" wrapText="1" indent="2"/>
    </xf>
    <xf numFmtId="0" fontId="10" fillId="8" borderId="25">
      <alignment horizontal="left" vertical="center" wrapText="1" indent="2"/>
    </xf>
    <xf numFmtId="0" fontId="10" fillId="0" borderId="25">
      <alignment horizontal="left" vertical="center" wrapText="1" indent="2"/>
    </xf>
    <xf numFmtId="0" fontId="18" fillId="30" borderId="13" applyNumberFormat="0" applyAlignment="0" applyProtection="0"/>
    <xf numFmtId="0" fontId="20" fillId="30" borderId="14" applyNumberFormat="0" applyAlignment="0" applyProtection="0"/>
    <xf numFmtId="0" fontId="21" fillId="30" borderId="14" applyNumberFormat="0" applyAlignment="0" applyProtection="0"/>
    <xf numFmtId="0" fontId="24" fillId="17" borderId="14" applyNumberFormat="0" applyAlignment="0" applyProtection="0"/>
    <xf numFmtId="0" fontId="25" fillId="0" borderId="16" applyNumberFormat="0" applyFill="0" applyAlignment="0" applyProtection="0"/>
    <xf numFmtId="0" fontId="33" fillId="17" borderId="14" applyNumberFormat="0" applyAlignment="0" applyProtection="0"/>
    <xf numFmtId="0" fontId="15" fillId="33" borderId="21" applyNumberFormat="0" applyFont="0" applyAlignment="0" applyProtection="0"/>
    <xf numFmtId="0" fontId="8" fillId="33" borderId="21" applyNumberFormat="0" applyFont="0" applyAlignment="0" applyProtection="0"/>
    <xf numFmtId="0" fontId="37" fillId="30" borderId="13" applyNumberFormat="0" applyAlignment="0" applyProtection="0"/>
    <xf numFmtId="0" fontId="40" fillId="0" borderId="16" applyNumberFormat="0" applyFill="0" applyAlignment="0" applyProtection="0"/>
    <xf numFmtId="0" fontId="21" fillId="30" borderId="14" applyNumberFormat="0" applyAlignment="0" applyProtection="0"/>
    <xf numFmtId="0" fontId="33" fillId="17" borderId="14" applyNumberFormat="0" applyAlignment="0" applyProtection="0"/>
    <xf numFmtId="0" fontId="15" fillId="33" borderId="21" applyNumberFormat="0" applyFont="0" applyAlignment="0" applyProtection="0"/>
    <xf numFmtId="0" fontId="37" fillId="30" borderId="13" applyNumberFormat="0" applyAlignment="0" applyProtection="0"/>
    <xf numFmtId="0" fontId="40" fillId="0" borderId="16" applyNumberFormat="0" applyFill="0" applyAlignment="0" applyProtection="0"/>
    <xf numFmtId="0" fontId="7" fillId="8" borderId="6">
      <alignment horizontal="right" vertical="center"/>
    </xf>
    <xf numFmtId="4" fontId="7" fillId="8" borderId="6">
      <alignment horizontal="right" vertical="center"/>
    </xf>
    <xf numFmtId="0" fontId="7" fillId="8" borderId="24">
      <alignment horizontal="right" vertical="center"/>
    </xf>
    <xf numFmtId="4" fontId="7" fillId="8" borderId="24">
      <alignment horizontal="right" vertical="center"/>
    </xf>
    <xf numFmtId="0" fontId="21" fillId="30" borderId="14" applyNumberFormat="0" applyAlignment="0" applyProtection="0"/>
    <xf numFmtId="0" fontId="10" fillId="8" borderId="12">
      <alignment horizontal="left" vertical="center" wrapText="1" indent="2"/>
    </xf>
    <xf numFmtId="0" fontId="10" fillId="0" borderId="12">
      <alignment horizontal="left" vertical="center" wrapText="1" indent="2"/>
    </xf>
    <xf numFmtId="0" fontId="10" fillId="6" borderId="6">
      <alignment horizontal="left" vertical="center"/>
    </xf>
    <xf numFmtId="0" fontId="33" fillId="17" borderId="14" applyNumberFormat="0" applyAlignment="0" applyProtection="0"/>
    <xf numFmtId="0" fontId="37" fillId="30" borderId="13" applyNumberFormat="0" applyAlignment="0" applyProtection="0"/>
    <xf numFmtId="0" fontId="40" fillId="0" borderId="16" applyNumberFormat="0" applyFill="0" applyAlignment="0" applyProtection="0"/>
    <xf numFmtId="49" fontId="10" fillId="0" borderId="6" applyNumberFormat="0" applyFont="0" applyFill="0" applyBorder="0" applyProtection="0">
      <alignment horizontal="left" vertical="center" indent="5"/>
    </xf>
    <xf numFmtId="0" fontId="18" fillId="30" borderId="13" applyNumberFormat="0" applyAlignment="0" applyProtection="0"/>
    <xf numFmtId="0" fontId="20" fillId="30" borderId="14" applyNumberFormat="0" applyAlignment="0" applyProtection="0"/>
    <xf numFmtId="0" fontId="25" fillId="0" borderId="16" applyNumberFormat="0" applyFill="0" applyAlignment="0" applyProtection="0"/>
    <xf numFmtId="49" fontId="10" fillId="0" borderId="22" applyNumberFormat="0" applyFont="0" applyFill="0" applyBorder="0" applyProtection="0">
      <alignment horizontal="left" vertical="center" indent="2"/>
    </xf>
    <xf numFmtId="0" fontId="7" fillId="6" borderId="22">
      <alignment horizontal="right" vertical="center"/>
    </xf>
    <xf numFmtId="4" fontId="7" fillId="6" borderId="22">
      <alignment horizontal="right" vertical="center"/>
    </xf>
    <xf numFmtId="0" fontId="12" fillId="6" borderId="22">
      <alignment horizontal="right" vertical="center"/>
    </xf>
    <xf numFmtId="4" fontId="12" fillId="6" borderId="22">
      <alignment horizontal="right" vertical="center"/>
    </xf>
    <xf numFmtId="0" fontId="7" fillId="8" borderId="22">
      <alignment horizontal="right" vertical="center"/>
    </xf>
    <xf numFmtId="4" fontId="7" fillId="8" borderId="22">
      <alignment horizontal="right" vertical="center"/>
    </xf>
    <xf numFmtId="0" fontId="7" fillId="8" borderId="22">
      <alignment horizontal="right" vertical="center"/>
    </xf>
    <xf numFmtId="4" fontId="7" fillId="8" borderId="22">
      <alignment horizontal="right" vertical="center"/>
    </xf>
    <xf numFmtId="0" fontId="24" fillId="17" borderId="14" applyNumberFormat="0" applyAlignment="0" applyProtection="0"/>
    <xf numFmtId="0" fontId="10" fillId="0" borderId="22">
      <alignment horizontal="right" vertical="center"/>
    </xf>
    <xf numFmtId="4" fontId="10" fillId="0" borderId="22">
      <alignment horizontal="right" vertical="center"/>
    </xf>
    <xf numFmtId="4" fontId="10" fillId="0" borderId="22" applyFill="0" applyBorder="0" applyProtection="0">
      <alignment horizontal="right" vertical="center"/>
    </xf>
    <xf numFmtId="49" fontId="9" fillId="0" borderId="22" applyNumberFormat="0" applyFill="0" applyBorder="0" applyProtection="0">
      <alignment horizontal="left" vertical="center"/>
    </xf>
    <xf numFmtId="0" fontId="10" fillId="0" borderId="22" applyNumberFormat="0" applyFill="0" applyAlignment="0" applyProtection="0"/>
    <xf numFmtId="166" fontId="10" fillId="34" borderId="22" applyNumberFormat="0" applyFont="0" applyBorder="0" applyAlignment="0" applyProtection="0">
      <alignment horizontal="right" vertical="center"/>
    </xf>
    <xf numFmtId="0" fontId="10" fillId="7" borderId="22"/>
    <xf numFmtId="4" fontId="10" fillId="7" borderId="22"/>
    <xf numFmtId="4" fontId="7" fillId="8" borderId="22">
      <alignment horizontal="right" vertical="center"/>
    </xf>
    <xf numFmtId="0" fontId="10" fillId="7" borderId="22"/>
    <xf numFmtId="0" fontId="20" fillId="30" borderId="14" applyNumberFormat="0" applyAlignment="0" applyProtection="0"/>
    <xf numFmtId="0" fontId="7" fillId="6" borderId="22">
      <alignment horizontal="right" vertical="center"/>
    </xf>
    <xf numFmtId="0" fontId="10" fillId="0" borderId="22">
      <alignment horizontal="right" vertical="center"/>
    </xf>
    <xf numFmtId="0" fontId="40" fillId="0" borderId="16" applyNumberFormat="0" applyFill="0" applyAlignment="0" applyProtection="0"/>
    <xf numFmtId="0" fontId="10" fillId="6" borderId="23">
      <alignment horizontal="left" vertical="center"/>
    </xf>
    <xf numFmtId="0" fontId="33" fillId="17" borderId="14" applyNumberFormat="0" applyAlignment="0" applyProtection="0"/>
    <xf numFmtId="166" fontId="10" fillId="34" borderId="22" applyNumberFormat="0" applyFont="0" applyBorder="0" applyAlignment="0" applyProtection="0">
      <alignment horizontal="right" vertical="center"/>
    </xf>
    <xf numFmtId="0" fontId="15" fillId="33" borderId="21" applyNumberFormat="0" applyFont="0" applyAlignment="0" applyProtection="0"/>
    <xf numFmtId="0" fontId="10" fillId="0" borderId="25">
      <alignment horizontal="left" vertical="center" wrapText="1" indent="2"/>
    </xf>
    <xf numFmtId="4" fontId="10" fillId="7" borderId="22"/>
    <xf numFmtId="49" fontId="9" fillId="0" borderId="22" applyNumberFormat="0" applyFill="0" applyBorder="0" applyProtection="0">
      <alignment horizontal="left" vertical="center"/>
    </xf>
    <xf numFmtId="0" fontId="10" fillId="0" borderId="22">
      <alignment horizontal="right" vertical="center"/>
    </xf>
    <xf numFmtId="4" fontId="7" fillId="8" borderId="24">
      <alignment horizontal="right" vertical="center"/>
    </xf>
    <xf numFmtId="4" fontId="7" fillId="8" borderId="22">
      <alignment horizontal="right" vertical="center"/>
    </xf>
    <xf numFmtId="4" fontId="7" fillId="8" borderId="22">
      <alignment horizontal="right" vertical="center"/>
    </xf>
    <xf numFmtId="0" fontId="12" fillId="6" borderId="22">
      <alignment horizontal="right" vertical="center"/>
    </xf>
    <xf numFmtId="0" fontId="7" fillId="6" borderId="22">
      <alignment horizontal="right" vertical="center"/>
    </xf>
    <xf numFmtId="49" fontId="10" fillId="0" borderId="22" applyNumberFormat="0" applyFont="0" applyFill="0" applyBorder="0" applyProtection="0">
      <alignment horizontal="left" vertical="center" indent="2"/>
    </xf>
    <xf numFmtId="0" fontId="33" fillId="17" borderId="14" applyNumberFormat="0" applyAlignment="0" applyProtection="0"/>
    <xf numFmtId="0" fontId="18" fillId="30" borderId="13" applyNumberFormat="0" applyAlignment="0" applyProtection="0"/>
    <xf numFmtId="49" fontId="10" fillId="0" borderId="22" applyNumberFormat="0" applyFont="0" applyFill="0" applyBorder="0" applyProtection="0">
      <alignment horizontal="left" vertical="center" indent="2"/>
    </xf>
    <xf numFmtId="0" fontId="24" fillId="17" borderId="14" applyNumberFormat="0" applyAlignment="0" applyProtection="0"/>
    <xf numFmtId="4" fontId="10" fillId="0" borderId="22" applyFill="0" applyBorder="0" applyProtection="0">
      <alignment horizontal="right" vertical="center"/>
    </xf>
    <xf numFmtId="0" fontId="21" fillId="30" borderId="14" applyNumberFormat="0" applyAlignment="0" applyProtection="0"/>
    <xf numFmtId="0" fontId="40" fillId="0" borderId="16" applyNumberFormat="0" applyFill="0" applyAlignment="0" applyProtection="0"/>
    <xf numFmtId="0" fontId="37" fillId="30" borderId="13" applyNumberFormat="0" applyAlignment="0" applyProtection="0"/>
    <xf numFmtId="0" fontId="10" fillId="0" borderId="22" applyNumberFormat="0" applyFill="0" applyAlignment="0" applyProtection="0"/>
    <xf numFmtId="4" fontId="10" fillId="0" borderId="22">
      <alignment horizontal="right" vertical="center"/>
    </xf>
    <xf numFmtId="0" fontId="10" fillId="0" borderId="22">
      <alignment horizontal="right" vertical="center"/>
    </xf>
    <xf numFmtId="0" fontId="33" fillId="17" borderId="14" applyNumberFormat="0" applyAlignment="0" applyProtection="0"/>
    <xf numFmtId="0" fontId="18" fillId="30" borderId="13" applyNumberFormat="0" applyAlignment="0" applyProtection="0"/>
    <xf numFmtId="0" fontId="20" fillId="30" borderId="14" applyNumberFormat="0" applyAlignment="0" applyProtection="0"/>
    <xf numFmtId="0" fontId="10" fillId="8" borderId="25">
      <alignment horizontal="left" vertical="center" wrapText="1" indent="2"/>
    </xf>
    <xf numFmtId="0" fontId="21" fillId="30" borderId="14" applyNumberFormat="0" applyAlignment="0" applyProtection="0"/>
    <xf numFmtId="0" fontId="21" fillId="30" borderId="14" applyNumberFormat="0" applyAlignment="0" applyProtection="0"/>
    <xf numFmtId="4" fontId="7" fillId="8" borderId="23">
      <alignment horizontal="right" vertical="center"/>
    </xf>
    <xf numFmtId="0" fontId="7" fillId="8" borderId="23">
      <alignment horizontal="right" vertical="center"/>
    </xf>
    <xf numFmtId="0" fontId="7" fillId="8" borderId="22">
      <alignment horizontal="right" vertical="center"/>
    </xf>
    <xf numFmtId="4" fontId="12" fillId="6" borderId="22">
      <alignment horizontal="right" vertical="center"/>
    </xf>
    <xf numFmtId="0" fontId="24" fillId="17" borderId="14" applyNumberFormat="0" applyAlignment="0" applyProtection="0"/>
    <xf numFmtId="0" fontId="25" fillId="0" borderId="16" applyNumberFormat="0" applyFill="0" applyAlignment="0" applyProtection="0"/>
    <xf numFmtId="0" fontId="40" fillId="0" borderId="16" applyNumberFormat="0" applyFill="0" applyAlignment="0" applyProtection="0"/>
    <xf numFmtId="0" fontId="15" fillId="33" borderId="21" applyNumberFormat="0" applyFont="0" applyAlignment="0" applyProtection="0"/>
    <xf numFmtId="0" fontId="33" fillId="17" borderId="14" applyNumberFormat="0" applyAlignment="0" applyProtection="0"/>
    <xf numFmtId="49" fontId="9" fillId="0" borderId="22" applyNumberFormat="0" applyFill="0" applyBorder="0" applyProtection="0">
      <alignment horizontal="left" vertical="center"/>
    </xf>
    <xf numFmtId="0" fontId="10" fillId="8" borderId="25">
      <alignment horizontal="left" vertical="center" wrapText="1" indent="2"/>
    </xf>
    <xf numFmtId="0" fontId="21" fillId="30" borderId="14" applyNumberFormat="0" applyAlignment="0" applyProtection="0"/>
    <xf numFmtId="0" fontId="10" fillId="0" borderId="25">
      <alignment horizontal="left" vertical="center" wrapText="1" indent="2"/>
    </xf>
    <xf numFmtId="0" fontId="15" fillId="33" borderId="21" applyNumberFormat="0" applyFont="0" applyAlignment="0" applyProtection="0"/>
    <xf numFmtId="0" fontId="8" fillId="33" borderId="21" applyNumberFormat="0" applyFont="0" applyAlignment="0" applyProtection="0"/>
    <xf numFmtId="0" fontId="37" fillId="30" borderId="13" applyNumberFormat="0" applyAlignment="0" applyProtection="0"/>
    <xf numFmtId="0" fontId="40" fillId="0" borderId="16" applyNumberFormat="0" applyFill="0" applyAlignment="0" applyProtection="0"/>
    <xf numFmtId="4" fontId="10" fillId="7" borderId="22"/>
    <xf numFmtId="0" fontId="7" fillId="8" borderId="22">
      <alignment horizontal="right" vertical="center"/>
    </xf>
    <xf numFmtId="0" fontId="40" fillId="0" borderId="16" applyNumberFormat="0" applyFill="0" applyAlignment="0" applyProtection="0"/>
    <xf numFmtId="4" fontId="7" fillId="8" borderId="24">
      <alignment horizontal="right" vertical="center"/>
    </xf>
    <xf numFmtId="0" fontId="20" fillId="30" borderId="14" applyNumberFormat="0" applyAlignment="0" applyProtection="0"/>
    <xf numFmtId="0" fontId="7" fillId="8" borderId="23">
      <alignment horizontal="right" vertical="center"/>
    </xf>
    <xf numFmtId="0" fontId="21" fillId="30" borderId="14" applyNumberFormat="0" applyAlignment="0" applyProtection="0"/>
    <xf numFmtId="0" fontId="25" fillId="0" borderId="16" applyNumberFormat="0" applyFill="0" applyAlignment="0" applyProtection="0"/>
    <xf numFmtId="0" fontId="15" fillId="33" borderId="21" applyNumberFormat="0" applyFont="0" applyAlignment="0" applyProtection="0"/>
    <xf numFmtId="4" fontId="7" fillId="8" borderId="23">
      <alignment horizontal="right" vertical="center"/>
    </xf>
    <xf numFmtId="0" fontId="10" fillId="8" borderId="25">
      <alignment horizontal="left" vertical="center" wrapText="1" indent="2"/>
    </xf>
    <xf numFmtId="0" fontId="10" fillId="7" borderId="22"/>
    <xf numFmtId="166" fontId="10" fillId="34" borderId="22" applyNumberFormat="0" applyFont="0" applyBorder="0" applyAlignment="0" applyProtection="0">
      <alignment horizontal="right" vertical="center"/>
    </xf>
    <xf numFmtId="0" fontId="10" fillId="0" borderId="22" applyNumberFormat="0" applyFill="0" applyAlignment="0" applyProtection="0"/>
    <xf numFmtId="4" fontId="10" fillId="0" borderId="22" applyFill="0" applyBorder="0" applyProtection="0">
      <alignment horizontal="right" vertical="center"/>
    </xf>
    <xf numFmtId="4" fontId="7" fillId="6" borderId="22">
      <alignment horizontal="right" vertical="center"/>
    </xf>
    <xf numFmtId="0" fontId="25" fillId="0" borderId="16" applyNumberFormat="0" applyFill="0" applyAlignment="0" applyProtection="0"/>
    <xf numFmtId="49" fontId="9" fillId="0" borderId="22" applyNumberFormat="0" applyFill="0" applyBorder="0" applyProtection="0">
      <alignment horizontal="left" vertical="center"/>
    </xf>
    <xf numFmtId="49" fontId="10" fillId="0" borderId="23" applyNumberFormat="0" applyFont="0" applyFill="0" applyBorder="0" applyProtection="0">
      <alignment horizontal="left" vertical="center" indent="5"/>
    </xf>
    <xf numFmtId="0" fontId="10" fillId="6" borderId="23">
      <alignment horizontal="left" vertical="center"/>
    </xf>
    <xf numFmtId="0" fontId="21" fillId="30" borderId="14" applyNumberFormat="0" applyAlignment="0" applyProtection="0"/>
    <xf numFmtId="4" fontId="7" fillId="8" borderId="24">
      <alignment horizontal="right" vertical="center"/>
    </xf>
    <xf numFmtId="0" fontId="33" fillId="17" borderId="14" applyNumberFormat="0" applyAlignment="0" applyProtection="0"/>
    <xf numFmtId="0" fontId="33" fillId="17" borderId="14" applyNumberFormat="0" applyAlignment="0" applyProtection="0"/>
    <xf numFmtId="0" fontId="15" fillId="33" borderId="21" applyNumberFormat="0" applyFont="0" applyAlignment="0" applyProtection="0"/>
    <xf numFmtId="0" fontId="37" fillId="30" borderId="13" applyNumberFormat="0" applyAlignment="0" applyProtection="0"/>
    <xf numFmtId="0" fontId="40" fillId="0" borderId="16" applyNumberFormat="0" applyFill="0" applyAlignment="0" applyProtection="0"/>
    <xf numFmtId="0" fontId="7" fillId="8" borderId="22">
      <alignment horizontal="right" vertical="center"/>
    </xf>
    <xf numFmtId="0" fontId="8" fillId="33" borderId="21" applyNumberFormat="0" applyFont="0" applyAlignment="0" applyProtection="0"/>
    <xf numFmtId="4" fontId="10" fillId="0" borderId="22">
      <alignment horizontal="right" vertical="center"/>
    </xf>
    <xf numFmtId="0" fontId="40" fillId="0" borderId="16" applyNumberFormat="0" applyFill="0" applyAlignment="0" applyProtection="0"/>
    <xf numFmtId="0" fontId="7" fillId="8" borderId="22">
      <alignment horizontal="right" vertical="center"/>
    </xf>
    <xf numFmtId="0" fontId="7" fillId="8" borderId="22">
      <alignment horizontal="right" vertical="center"/>
    </xf>
    <xf numFmtId="4" fontId="12" fillId="6" borderId="22">
      <alignment horizontal="right" vertical="center"/>
    </xf>
    <xf numFmtId="0" fontId="7" fillId="6" borderId="22">
      <alignment horizontal="right" vertical="center"/>
    </xf>
    <xf numFmtId="4" fontId="7" fillId="6" borderId="22">
      <alignment horizontal="right" vertical="center"/>
    </xf>
    <xf numFmtId="0" fontId="12" fillId="6" borderId="22">
      <alignment horizontal="right" vertical="center"/>
    </xf>
    <xf numFmtId="4" fontId="12" fillId="6" borderId="22">
      <alignment horizontal="right" vertical="center"/>
    </xf>
    <xf numFmtId="0" fontId="7" fillId="8" borderId="22">
      <alignment horizontal="right" vertical="center"/>
    </xf>
    <xf numFmtId="4" fontId="7" fillId="8" borderId="22">
      <alignment horizontal="right" vertical="center"/>
    </xf>
    <xf numFmtId="0" fontId="7" fillId="8" borderId="22">
      <alignment horizontal="right" vertical="center"/>
    </xf>
    <xf numFmtId="4" fontId="7" fillId="8" borderId="22">
      <alignment horizontal="right" vertical="center"/>
    </xf>
    <xf numFmtId="0" fontId="7" fillId="8" borderId="23">
      <alignment horizontal="right" vertical="center"/>
    </xf>
    <xf numFmtId="4" fontId="7" fillId="8" borderId="23">
      <alignment horizontal="right" vertical="center"/>
    </xf>
    <xf numFmtId="0" fontId="7" fillId="8" borderId="24">
      <alignment horizontal="right" vertical="center"/>
    </xf>
    <xf numFmtId="4" fontId="7" fillId="8" borderId="24">
      <alignment horizontal="right" vertical="center"/>
    </xf>
    <xf numFmtId="0" fontId="21" fillId="30" borderId="14" applyNumberFormat="0" applyAlignment="0" applyProtection="0"/>
    <xf numFmtId="0" fontId="10" fillId="8" borderId="25">
      <alignment horizontal="left" vertical="center" wrapText="1" indent="2"/>
    </xf>
    <xf numFmtId="0" fontId="10" fillId="0" borderId="25">
      <alignment horizontal="left" vertical="center" wrapText="1" indent="2"/>
    </xf>
    <xf numFmtId="0" fontId="10" fillId="6" borderId="23">
      <alignment horizontal="left" vertical="center"/>
    </xf>
    <xf numFmtId="0" fontId="33" fillId="17" borderId="14" applyNumberFormat="0" applyAlignment="0" applyProtection="0"/>
    <xf numFmtId="0" fontId="10" fillId="0" borderId="22">
      <alignment horizontal="right" vertical="center"/>
    </xf>
    <xf numFmtId="4" fontId="10" fillId="0" borderId="22">
      <alignment horizontal="right" vertical="center"/>
    </xf>
    <xf numFmtId="0" fontId="10" fillId="0" borderId="22" applyNumberFormat="0" applyFill="0" applyAlignment="0" applyProtection="0"/>
    <xf numFmtId="0" fontId="37" fillId="30" borderId="13" applyNumberFormat="0" applyAlignment="0" applyProtection="0"/>
    <xf numFmtId="166" fontId="10" fillId="34" borderId="22" applyNumberFormat="0" applyFont="0" applyBorder="0" applyAlignment="0" applyProtection="0">
      <alignment horizontal="right" vertical="center"/>
    </xf>
    <xf numFmtId="0" fontId="10" fillId="7" borderId="22"/>
    <xf numFmtId="4" fontId="10" fillId="7" borderId="22"/>
    <xf numFmtId="0" fontId="40" fillId="0" borderId="16" applyNumberFormat="0" applyFill="0" applyAlignment="0" applyProtection="0"/>
    <xf numFmtId="0" fontId="8" fillId="33" borderId="21" applyNumberFormat="0" applyFont="0" applyAlignment="0" applyProtection="0"/>
    <xf numFmtId="0" fontId="15" fillId="33" borderId="21" applyNumberFormat="0" applyFont="0" applyAlignment="0" applyProtection="0"/>
    <xf numFmtId="0" fontId="10" fillId="0" borderId="22" applyNumberFormat="0" applyFill="0" applyAlignment="0" applyProtection="0"/>
    <xf numFmtId="0" fontId="25" fillId="0" borderId="16" applyNumberFormat="0" applyFill="0" applyAlignment="0" applyProtection="0"/>
    <xf numFmtId="0" fontId="40" fillId="0" borderId="16" applyNumberFormat="0" applyFill="0" applyAlignment="0" applyProtection="0"/>
    <xf numFmtId="0" fontId="24" fillId="17" borderId="14" applyNumberFormat="0" applyAlignment="0" applyProtection="0"/>
    <xf numFmtId="0" fontId="21" fillId="30" borderId="14" applyNumberFormat="0" applyAlignment="0" applyProtection="0"/>
    <xf numFmtId="4" fontId="12" fillId="6" borderId="22">
      <alignment horizontal="right" vertical="center"/>
    </xf>
    <xf numFmtId="0" fontId="7" fillId="6" borderId="22">
      <alignment horizontal="right" vertical="center"/>
    </xf>
    <xf numFmtId="166" fontId="10" fillId="34" borderId="22" applyNumberFormat="0" applyFont="0" applyBorder="0" applyAlignment="0" applyProtection="0">
      <alignment horizontal="right" vertical="center"/>
    </xf>
    <xf numFmtId="0" fontId="25" fillId="0" borderId="16" applyNumberFormat="0" applyFill="0" applyAlignment="0" applyProtection="0"/>
    <xf numFmtId="49" fontId="10" fillId="0" borderId="22" applyNumberFormat="0" applyFont="0" applyFill="0" applyBorder="0" applyProtection="0">
      <alignment horizontal="left" vertical="center" indent="2"/>
    </xf>
    <xf numFmtId="49" fontId="10" fillId="0" borderId="23" applyNumberFormat="0" applyFont="0" applyFill="0" applyBorder="0" applyProtection="0">
      <alignment horizontal="left" vertical="center" indent="5"/>
    </xf>
    <xf numFmtId="49" fontId="10" fillId="0" borderId="22" applyNumberFormat="0" applyFont="0" applyFill="0" applyBorder="0" applyProtection="0">
      <alignment horizontal="left" vertical="center" indent="2"/>
    </xf>
    <xf numFmtId="4" fontId="10" fillId="0" borderId="22" applyFill="0" applyBorder="0" applyProtection="0">
      <alignment horizontal="right" vertical="center"/>
    </xf>
    <xf numFmtId="49" fontId="9" fillId="0" borderId="22" applyNumberFormat="0" applyFill="0" applyBorder="0" applyProtection="0">
      <alignment horizontal="left" vertical="center"/>
    </xf>
    <xf numFmtId="0" fontId="10" fillId="0" borderId="25">
      <alignment horizontal="left" vertical="center" wrapText="1" indent="2"/>
    </xf>
    <xf numFmtId="0" fontId="37" fillId="30" borderId="13" applyNumberFormat="0" applyAlignment="0" applyProtection="0"/>
    <xf numFmtId="0" fontId="7" fillId="8" borderId="24">
      <alignment horizontal="right" vertical="center"/>
    </xf>
    <xf numFmtId="0" fontId="24" fillId="17" borderId="14" applyNumberFormat="0" applyAlignment="0" applyProtection="0"/>
    <xf numFmtId="0" fontId="7" fillId="8" borderId="24">
      <alignment horizontal="right" vertical="center"/>
    </xf>
    <xf numFmtId="4" fontId="7" fillId="8" borderId="22">
      <alignment horizontal="right" vertical="center"/>
    </xf>
    <xf numFmtId="0" fontId="7" fillId="8" borderId="22">
      <alignment horizontal="right" vertical="center"/>
    </xf>
    <xf numFmtId="0" fontId="18" fillId="30" borderId="13" applyNumberFormat="0" applyAlignment="0" applyProtection="0"/>
    <xf numFmtId="0" fontId="20" fillId="30" borderId="14" applyNumberFormat="0" applyAlignment="0" applyProtection="0"/>
    <xf numFmtId="0" fontId="25" fillId="0" borderId="16" applyNumberFormat="0" applyFill="0" applyAlignment="0" applyProtection="0"/>
    <xf numFmtId="0" fontId="10" fillId="7" borderId="22"/>
    <xf numFmtId="4" fontId="10" fillId="7" borderId="22"/>
    <xf numFmtId="4" fontId="7" fillId="8" borderId="22">
      <alignment horizontal="right" vertical="center"/>
    </xf>
    <xf numFmtId="0" fontId="12" fillId="6" borderId="22">
      <alignment horizontal="right" vertical="center"/>
    </xf>
    <xf numFmtId="0" fontId="24" fillId="17" borderId="14" applyNumberFormat="0" applyAlignment="0" applyProtection="0"/>
    <xf numFmtId="0" fontId="21" fillId="30" borderId="14" applyNumberFormat="0" applyAlignment="0" applyProtection="0"/>
    <xf numFmtId="4" fontId="10" fillId="0" borderId="22">
      <alignment horizontal="right" vertical="center"/>
    </xf>
    <xf numFmtId="0" fontId="10" fillId="8" borderId="25">
      <alignment horizontal="left" vertical="center" wrapText="1" indent="2"/>
    </xf>
    <xf numFmtId="0" fontId="10" fillId="0" borderId="25">
      <alignment horizontal="left" vertical="center" wrapText="1" indent="2"/>
    </xf>
    <xf numFmtId="0" fontId="37" fillId="30" borderId="13" applyNumberFormat="0" applyAlignment="0" applyProtection="0"/>
    <xf numFmtId="0" fontId="33" fillId="17" borderId="14" applyNumberFormat="0" applyAlignment="0" applyProtection="0"/>
    <xf numFmtId="0" fontId="20" fillId="30" borderId="14" applyNumberFormat="0" applyAlignment="0" applyProtection="0"/>
    <xf numFmtId="0" fontId="18" fillId="30" borderId="13" applyNumberFormat="0" applyAlignment="0" applyProtection="0"/>
    <xf numFmtId="0" fontId="7" fillId="8" borderId="24">
      <alignment horizontal="right" vertical="center"/>
    </xf>
    <xf numFmtId="0" fontId="12" fillId="6" borderId="22">
      <alignment horizontal="right" vertical="center"/>
    </xf>
    <xf numFmtId="4" fontId="7" fillId="6" borderId="22">
      <alignment horizontal="right" vertical="center"/>
    </xf>
    <xf numFmtId="4" fontId="7" fillId="8" borderId="22">
      <alignment horizontal="right" vertical="center"/>
    </xf>
    <xf numFmtId="49" fontId="10" fillId="0" borderId="23" applyNumberFormat="0" applyFont="0" applyFill="0" applyBorder="0" applyProtection="0">
      <alignment horizontal="left" vertical="center" indent="5"/>
    </xf>
    <xf numFmtId="4" fontId="10" fillId="0" borderId="22" applyFill="0" applyBorder="0" applyProtection="0">
      <alignment horizontal="right" vertical="center"/>
    </xf>
    <xf numFmtId="4" fontId="7" fillId="6" borderId="22">
      <alignment horizontal="right" vertical="center"/>
    </xf>
    <xf numFmtId="0" fontId="33" fillId="17" borderId="14" applyNumberFormat="0" applyAlignment="0" applyProtection="0"/>
    <xf numFmtId="0" fontId="24" fillId="17" borderId="14" applyNumberFormat="0" applyAlignment="0" applyProtection="0"/>
    <xf numFmtId="0" fontId="20" fillId="30" borderId="14" applyNumberFormat="0" applyAlignment="0" applyProtection="0"/>
    <xf numFmtId="0" fontId="10" fillId="8" borderId="25">
      <alignment horizontal="left" vertical="center" wrapText="1" indent="2"/>
    </xf>
    <xf numFmtId="0" fontId="10" fillId="0" borderId="25">
      <alignment horizontal="left" vertical="center" wrapText="1" indent="2"/>
    </xf>
    <xf numFmtId="0" fontId="10" fillId="8" borderId="25">
      <alignment horizontal="left" vertical="center" wrapText="1" indent="2"/>
    </xf>
    <xf numFmtId="0" fontId="10" fillId="0" borderId="25">
      <alignment horizontal="left" vertical="center" wrapText="1" indent="2"/>
    </xf>
    <xf numFmtId="0" fontId="12" fillId="6" borderId="22">
      <alignment horizontal="right" vertical="center"/>
    </xf>
    <xf numFmtId="4" fontId="7" fillId="8" borderId="24">
      <alignment horizontal="right" vertical="center"/>
    </xf>
    <xf numFmtId="0" fontId="33" fillId="17" borderId="14" applyNumberFormat="0" applyAlignment="0" applyProtection="0"/>
    <xf numFmtId="0" fontId="20" fillId="30" borderId="14" applyNumberFormat="0" applyAlignment="0" applyProtection="0"/>
    <xf numFmtId="0" fontId="12" fillId="6" borderId="22">
      <alignment horizontal="right" vertical="center"/>
    </xf>
    <xf numFmtId="4" fontId="7" fillId="8" borderId="23">
      <alignment horizontal="right" vertical="center"/>
    </xf>
    <xf numFmtId="0" fontId="10" fillId="0" borderId="22">
      <alignment horizontal="right" vertical="center"/>
    </xf>
    <xf numFmtId="0" fontId="10" fillId="0" borderId="22" applyNumberFormat="0" applyFill="0" applyAlignment="0" applyProtection="0"/>
    <xf numFmtId="0" fontId="37" fillId="30" borderId="13" applyNumberFormat="0" applyAlignment="0" applyProtection="0"/>
    <xf numFmtId="4" fontId="10" fillId="0" borderId="22">
      <alignment horizontal="right" vertical="center"/>
    </xf>
    <xf numFmtId="0" fontId="10" fillId="0" borderId="25">
      <alignment horizontal="left" vertical="center" wrapText="1" indent="2"/>
    </xf>
    <xf numFmtId="0" fontId="10" fillId="6" borderId="23">
      <alignment horizontal="left" vertical="center"/>
    </xf>
    <xf numFmtId="0" fontId="21" fillId="30" borderId="14" applyNumberFormat="0" applyAlignment="0" applyProtection="0"/>
    <xf numFmtId="0" fontId="7" fillId="8" borderId="24">
      <alignment horizontal="right" vertical="center"/>
    </xf>
    <xf numFmtId="4" fontId="7" fillId="6" borderId="22">
      <alignment horizontal="right" vertical="center"/>
    </xf>
    <xf numFmtId="0" fontId="7" fillId="8" borderId="22">
      <alignment horizontal="right" vertical="center"/>
    </xf>
    <xf numFmtId="4" fontId="7" fillId="8" borderId="22">
      <alignment horizontal="right" vertical="center"/>
    </xf>
    <xf numFmtId="0" fontId="12" fillId="6" borderId="22">
      <alignment horizontal="right" vertical="center"/>
    </xf>
    <xf numFmtId="0" fontId="40" fillId="0" borderId="16" applyNumberFormat="0" applyFill="0" applyAlignment="0" applyProtection="0"/>
    <xf numFmtId="0" fontId="15" fillId="33" borderId="21" applyNumberFormat="0" applyFont="0" applyAlignment="0" applyProtection="0"/>
    <xf numFmtId="0" fontId="21" fillId="30" borderId="14" applyNumberFormat="0" applyAlignment="0" applyProtection="0"/>
    <xf numFmtId="0" fontId="15" fillId="33" borderId="21" applyNumberFormat="0" applyFont="0" applyAlignment="0" applyProtection="0"/>
    <xf numFmtId="0" fontId="8" fillId="33" borderId="21" applyNumberFormat="0" applyFont="0" applyAlignment="0" applyProtection="0"/>
    <xf numFmtId="4" fontId="10" fillId="0" borderId="22" applyFill="0" applyBorder="0" applyProtection="0">
      <alignment horizontal="right" vertical="center"/>
    </xf>
    <xf numFmtId="0" fontId="20" fillId="30" borderId="14" applyNumberFormat="0" applyAlignment="0" applyProtection="0"/>
    <xf numFmtId="0" fontId="10" fillId="8" borderId="25">
      <alignment horizontal="left" vertical="center" wrapText="1" indent="2"/>
    </xf>
    <xf numFmtId="4" fontId="7" fillId="8" borderId="22">
      <alignment horizontal="right" vertical="center"/>
    </xf>
    <xf numFmtId="4" fontId="7" fillId="6" borderId="22">
      <alignment horizontal="right" vertical="center"/>
    </xf>
    <xf numFmtId="0" fontId="33" fillId="17" borderId="14" applyNumberFormat="0" applyAlignment="0" applyProtection="0"/>
    <xf numFmtId="0" fontId="20" fillId="30" borderId="14" applyNumberFormat="0" applyAlignment="0" applyProtection="0"/>
    <xf numFmtId="4" fontId="10" fillId="0" borderId="22" applyFill="0" applyBorder="0" applyProtection="0">
      <alignment horizontal="right" vertical="center"/>
    </xf>
    <xf numFmtId="49" fontId="10" fillId="0" borderId="22" applyNumberFormat="0" applyFont="0" applyFill="0" applyBorder="0" applyProtection="0">
      <alignment horizontal="left" vertical="center" indent="2"/>
    </xf>
    <xf numFmtId="0" fontId="7" fillId="8" borderId="22">
      <alignment horizontal="right" vertical="center"/>
    </xf>
    <xf numFmtId="0" fontId="24" fillId="17" borderId="14" applyNumberFormat="0" applyAlignment="0" applyProtection="0"/>
    <xf numFmtId="166" fontId="10" fillId="34" borderId="22" applyNumberFormat="0" applyFont="0" applyBorder="0" applyAlignment="0" applyProtection="0">
      <alignment horizontal="right" vertical="center"/>
    </xf>
    <xf numFmtId="0" fontId="10" fillId="0" borderId="25">
      <alignment horizontal="left" vertical="center" wrapText="1" indent="2"/>
    </xf>
    <xf numFmtId="49" fontId="9" fillId="0" borderId="22" applyNumberFormat="0" applyFill="0" applyBorder="0" applyProtection="0">
      <alignment horizontal="left" vertical="center"/>
    </xf>
    <xf numFmtId="0" fontId="18" fillId="30" borderId="13" applyNumberFormat="0" applyAlignment="0" applyProtection="0"/>
    <xf numFmtId="49" fontId="9" fillId="0" borderId="22" applyNumberFormat="0" applyFill="0" applyBorder="0" applyProtection="0">
      <alignment horizontal="left" vertical="center"/>
    </xf>
    <xf numFmtId="0" fontId="40" fillId="0" borderId="16" applyNumberFormat="0" applyFill="0" applyAlignment="0" applyProtection="0"/>
    <xf numFmtId="0" fontId="10" fillId="0" borderId="22" applyNumberFormat="0" applyFill="0" applyAlignment="0" applyProtection="0"/>
    <xf numFmtId="0" fontId="7" fillId="8" borderId="24">
      <alignment horizontal="right" vertical="center"/>
    </xf>
    <xf numFmtId="0" fontId="21" fillId="30" borderId="14" applyNumberFormat="0" applyAlignment="0" applyProtection="0"/>
    <xf numFmtId="4" fontId="10" fillId="0" borderId="22" applyFill="0" applyBorder="0" applyProtection="0">
      <alignment horizontal="right" vertical="center"/>
    </xf>
    <xf numFmtId="0" fontId="33" fillId="17" borderId="14" applyNumberFormat="0" applyAlignment="0" applyProtection="0"/>
    <xf numFmtId="0" fontId="8" fillId="33" borderId="21" applyNumberFormat="0" applyFont="0" applyAlignment="0" applyProtection="0"/>
    <xf numFmtId="0" fontId="18" fillId="30" borderId="13" applyNumberFormat="0" applyAlignment="0" applyProtection="0"/>
    <xf numFmtId="0" fontId="7" fillId="8" borderId="23">
      <alignment horizontal="right" vertical="center"/>
    </xf>
    <xf numFmtId="0" fontId="20" fillId="30" borderId="14" applyNumberFormat="0" applyAlignment="0" applyProtection="0"/>
    <xf numFmtId="0" fontId="10" fillId="0" borderId="22">
      <alignment horizontal="right" vertical="center"/>
    </xf>
    <xf numFmtId="0" fontId="10" fillId="0" borderId="22">
      <alignment horizontal="right" vertical="center"/>
    </xf>
    <xf numFmtId="0" fontId="40" fillId="0" borderId="16" applyNumberFormat="0" applyFill="0" applyAlignment="0" applyProtection="0"/>
    <xf numFmtId="0" fontId="15" fillId="33" borderId="21" applyNumberFormat="0" applyFont="0" applyAlignment="0" applyProtection="0"/>
    <xf numFmtId="0" fontId="10" fillId="0" borderId="22">
      <alignment horizontal="right" vertical="center"/>
    </xf>
    <xf numFmtId="0" fontId="40" fillId="0" borderId="16" applyNumberFormat="0" applyFill="0" applyAlignment="0" applyProtection="0"/>
    <xf numFmtId="4" fontId="10" fillId="0" borderId="22" applyFill="0" applyBorder="0" applyProtection="0">
      <alignment horizontal="right" vertical="center"/>
    </xf>
    <xf numFmtId="0" fontId="18" fillId="30" borderId="13" applyNumberFormat="0" applyAlignment="0" applyProtection="0"/>
    <xf numFmtId="0" fontId="40" fillId="0" borderId="16" applyNumberFormat="0" applyFill="0" applyAlignment="0" applyProtection="0"/>
    <xf numFmtId="49" fontId="10" fillId="0" borderId="23" applyNumberFormat="0" applyFont="0" applyFill="0" applyBorder="0" applyProtection="0">
      <alignment horizontal="left" vertical="center" indent="5"/>
    </xf>
    <xf numFmtId="4" fontId="7" fillId="8" borderId="22">
      <alignment horizontal="right" vertical="center"/>
    </xf>
    <xf numFmtId="0" fontId="10" fillId="7" borderId="22"/>
    <xf numFmtId="0" fontId="33" fillId="17" borderId="14" applyNumberFormat="0" applyAlignment="0" applyProtection="0"/>
    <xf numFmtId="0" fontId="12" fillId="6" borderId="22">
      <alignment horizontal="right" vertical="center"/>
    </xf>
    <xf numFmtId="0" fontId="10" fillId="0" borderId="25">
      <alignment horizontal="left" vertical="center" wrapText="1" indent="2"/>
    </xf>
    <xf numFmtId="0" fontId="7" fillId="6" borderId="22">
      <alignment horizontal="right" vertical="center"/>
    </xf>
    <xf numFmtId="0" fontId="24" fillId="17" borderId="14" applyNumberFormat="0" applyAlignment="0" applyProtection="0"/>
    <xf numFmtId="0" fontId="21" fillId="30" borderId="14" applyNumberFormat="0" applyAlignment="0" applyProtection="0"/>
    <xf numFmtId="166" fontId="10" fillId="34" borderId="22" applyNumberFormat="0" applyFont="0" applyBorder="0" applyAlignment="0" applyProtection="0">
      <alignment horizontal="right" vertical="center"/>
    </xf>
    <xf numFmtId="0" fontId="21" fillId="30" borderId="14" applyNumberFormat="0" applyAlignment="0" applyProtection="0"/>
    <xf numFmtId="0" fontId="7" fillId="8" borderId="22">
      <alignment horizontal="right" vertical="center"/>
    </xf>
    <xf numFmtId="0" fontId="10" fillId="0" borderId="22" applyNumberFormat="0" applyFill="0" applyAlignment="0" applyProtection="0"/>
    <xf numFmtId="0" fontId="8" fillId="33" borderId="21" applyNumberFormat="0" applyFont="0" applyAlignment="0" applyProtection="0"/>
    <xf numFmtId="0" fontId="7" fillId="8" borderId="22">
      <alignment horizontal="right" vertical="center"/>
    </xf>
    <xf numFmtId="0" fontId="10" fillId="0" borderId="25">
      <alignment horizontal="left" vertical="center" wrapText="1" indent="2"/>
    </xf>
    <xf numFmtId="4" fontId="12" fillId="6" borderId="22">
      <alignment horizontal="right" vertical="center"/>
    </xf>
    <xf numFmtId="166" fontId="10" fillId="34" borderId="22" applyNumberFormat="0" applyFont="0" applyBorder="0" applyAlignment="0" applyProtection="0">
      <alignment horizontal="right" vertical="center"/>
    </xf>
    <xf numFmtId="0" fontId="40" fillId="0" borderId="16" applyNumberFormat="0" applyFill="0" applyAlignment="0" applyProtection="0"/>
    <xf numFmtId="4" fontId="12" fillId="6" borderId="22">
      <alignment horizontal="right" vertical="center"/>
    </xf>
    <xf numFmtId="49" fontId="10" fillId="0" borderId="23" applyNumberFormat="0" applyFont="0" applyFill="0" applyBorder="0" applyProtection="0">
      <alignment horizontal="left" vertical="center" indent="5"/>
    </xf>
    <xf numFmtId="0" fontId="33" fillId="17" borderId="14" applyNumberFormat="0" applyAlignment="0" applyProtection="0"/>
    <xf numFmtId="0" fontId="18" fillId="30" borderId="13" applyNumberFormat="0" applyAlignment="0" applyProtection="0"/>
    <xf numFmtId="4" fontId="10" fillId="0" borderId="22" applyFill="0" applyBorder="0" applyProtection="0">
      <alignment horizontal="right" vertical="center"/>
    </xf>
    <xf numFmtId="4" fontId="7" fillId="8" borderId="24">
      <alignment horizontal="right" vertical="center"/>
    </xf>
    <xf numFmtId="0" fontId="21" fillId="30" borderId="14" applyNumberFormat="0" applyAlignment="0" applyProtection="0"/>
    <xf numFmtId="0" fontId="37" fillId="30" borderId="13" applyNumberFormat="0" applyAlignment="0" applyProtection="0"/>
    <xf numFmtId="0" fontId="40" fillId="0" borderId="16" applyNumberFormat="0" applyFill="0" applyAlignment="0" applyProtection="0"/>
    <xf numFmtId="4" fontId="7" fillId="8" borderId="22">
      <alignment horizontal="right" vertical="center"/>
    </xf>
    <xf numFmtId="49" fontId="10" fillId="0" borderId="22" applyNumberFormat="0" applyFont="0" applyFill="0" applyBorder="0" applyProtection="0">
      <alignment horizontal="left" vertical="center" indent="2"/>
    </xf>
    <xf numFmtId="0" fontId="15" fillId="33" borderId="21" applyNumberFormat="0" applyFont="0" applyAlignment="0" applyProtection="0"/>
    <xf numFmtId="0" fontId="25" fillId="0" borderId="16" applyNumberFormat="0" applyFill="0" applyAlignment="0" applyProtection="0"/>
    <xf numFmtId="0" fontId="8" fillId="33" borderId="21" applyNumberFormat="0" applyFont="0" applyAlignment="0" applyProtection="0"/>
    <xf numFmtId="166" fontId="10" fillId="34" borderId="22" applyNumberFormat="0" applyFont="0" applyBorder="0" applyAlignment="0" applyProtection="0">
      <alignment horizontal="right" vertical="center"/>
    </xf>
    <xf numFmtId="49" fontId="9" fillId="0" borderId="22" applyNumberFormat="0" applyFill="0" applyBorder="0" applyProtection="0">
      <alignment horizontal="left" vertical="center"/>
    </xf>
    <xf numFmtId="0" fontId="33" fillId="17" borderId="14" applyNumberFormat="0" applyAlignment="0" applyProtection="0"/>
    <xf numFmtId="4" fontId="10" fillId="7" borderId="22"/>
    <xf numFmtId="0" fontId="12" fillId="6" borderId="22">
      <alignment horizontal="right" vertical="center"/>
    </xf>
    <xf numFmtId="0" fontId="25" fillId="0" borderId="16" applyNumberFormat="0" applyFill="0" applyAlignment="0" applyProtection="0"/>
    <xf numFmtId="4" fontId="7" fillId="8" borderId="22">
      <alignment horizontal="right" vertical="center"/>
    </xf>
    <xf numFmtId="0" fontId="10" fillId="6" borderId="23">
      <alignment horizontal="left" vertical="center"/>
    </xf>
    <xf numFmtId="0" fontId="7" fillId="6" borderId="22">
      <alignment horizontal="right" vertical="center"/>
    </xf>
    <xf numFmtId="0" fontId="7" fillId="8" borderId="22">
      <alignment horizontal="right" vertical="center"/>
    </xf>
    <xf numFmtId="0" fontId="10" fillId="6" borderId="23">
      <alignment horizontal="left" vertical="center"/>
    </xf>
    <xf numFmtId="4" fontId="10" fillId="0" borderId="22" applyFill="0" applyBorder="0" applyProtection="0">
      <alignment horizontal="right" vertical="center"/>
    </xf>
    <xf numFmtId="0" fontId="40" fillId="0" borderId="16" applyNumberFormat="0" applyFill="0" applyAlignment="0" applyProtection="0"/>
    <xf numFmtId="49" fontId="10" fillId="0" borderId="22" applyNumberFormat="0" applyFont="0" applyFill="0" applyBorder="0" applyProtection="0">
      <alignment horizontal="left" vertical="center" indent="2"/>
    </xf>
    <xf numFmtId="0" fontId="10" fillId="8" borderId="25">
      <alignment horizontal="left" vertical="center" wrapText="1" indent="2"/>
    </xf>
    <xf numFmtId="0" fontId="21" fillId="30" borderId="14" applyNumberFormat="0" applyAlignment="0" applyProtection="0"/>
    <xf numFmtId="0" fontId="40" fillId="0" borderId="16" applyNumberFormat="0" applyFill="0" applyAlignment="0" applyProtection="0"/>
    <xf numFmtId="0" fontId="10" fillId="0" borderId="22">
      <alignment horizontal="right" vertical="center"/>
    </xf>
    <xf numFmtId="49" fontId="10" fillId="0" borderId="22" applyNumberFormat="0" applyFont="0" applyFill="0" applyBorder="0" applyProtection="0">
      <alignment horizontal="left" vertical="center" indent="2"/>
    </xf>
    <xf numFmtId="0" fontId="10" fillId="0" borderId="22">
      <alignment horizontal="right" vertical="center"/>
    </xf>
    <xf numFmtId="0" fontId="7" fillId="6" borderId="22">
      <alignment horizontal="right" vertical="center"/>
    </xf>
    <xf numFmtId="0" fontId="37" fillId="30" borderId="13" applyNumberFormat="0" applyAlignment="0" applyProtection="0"/>
    <xf numFmtId="0" fontId="37" fillId="30" borderId="13" applyNumberFormat="0" applyAlignment="0" applyProtection="0"/>
    <xf numFmtId="4" fontId="7" fillId="8" borderId="22">
      <alignment horizontal="right" vertical="center"/>
    </xf>
    <xf numFmtId="0" fontId="10" fillId="0" borderId="25">
      <alignment horizontal="left" vertical="center" wrapText="1" indent="2"/>
    </xf>
    <xf numFmtId="0" fontId="25" fillId="0" borderId="16" applyNumberFormat="0" applyFill="0" applyAlignment="0" applyProtection="0"/>
    <xf numFmtId="4" fontId="7" fillId="8" borderId="22">
      <alignment horizontal="right" vertical="center"/>
    </xf>
    <xf numFmtId="0" fontId="10" fillId="8" borderId="25">
      <alignment horizontal="left" vertical="center" wrapText="1" indent="2"/>
    </xf>
    <xf numFmtId="0" fontId="24" fillId="17" borderId="14" applyNumberFormat="0" applyAlignment="0" applyProtection="0"/>
    <xf numFmtId="0" fontId="24" fillId="17" borderId="14" applyNumberFormat="0" applyAlignment="0" applyProtection="0"/>
    <xf numFmtId="0" fontId="20" fillId="30" borderId="14" applyNumberFormat="0" applyAlignment="0" applyProtection="0"/>
    <xf numFmtId="0" fontId="7" fillId="8" borderId="22">
      <alignment horizontal="right" vertical="center"/>
    </xf>
    <xf numFmtId="0" fontId="25" fillId="0" borderId="16" applyNumberFormat="0" applyFill="0" applyAlignment="0" applyProtection="0"/>
    <xf numFmtId="0" fontId="7" fillId="6" borderId="22">
      <alignment horizontal="right" vertical="center"/>
    </xf>
    <xf numFmtId="0" fontId="18" fillId="30" borderId="13" applyNumberFormat="0" applyAlignment="0" applyProtection="0"/>
    <xf numFmtId="0" fontId="40" fillId="0" borderId="16" applyNumberFormat="0" applyFill="0" applyAlignment="0" applyProtection="0"/>
    <xf numFmtId="4" fontId="10" fillId="0" borderId="22">
      <alignment horizontal="right" vertical="center"/>
    </xf>
    <xf numFmtId="49" fontId="10" fillId="0" borderId="23" applyNumberFormat="0" applyFont="0" applyFill="0" applyBorder="0" applyProtection="0">
      <alignment horizontal="left" vertical="center" indent="5"/>
    </xf>
    <xf numFmtId="4" fontId="10" fillId="7" borderId="22"/>
    <xf numFmtId="0" fontId="40" fillId="0" borderId="16" applyNumberFormat="0" applyFill="0" applyAlignment="0" applyProtection="0"/>
    <xf numFmtId="0" fontId="10" fillId="0" borderId="25">
      <alignment horizontal="left" vertical="center" wrapText="1" indent="2"/>
    </xf>
    <xf numFmtId="0" fontId="33" fillId="17" borderId="14" applyNumberFormat="0" applyAlignment="0" applyProtection="0"/>
    <xf numFmtId="0" fontId="33" fillId="17" borderId="14" applyNumberFormat="0" applyAlignment="0" applyProtection="0"/>
    <xf numFmtId="0" fontId="21" fillId="30" borderId="14" applyNumberFormat="0" applyAlignment="0" applyProtection="0"/>
    <xf numFmtId="0" fontId="33" fillId="17" borderId="14" applyNumberFormat="0" applyAlignment="0" applyProtection="0"/>
    <xf numFmtId="0" fontId="33" fillId="17" borderId="14" applyNumberFormat="0" applyAlignment="0" applyProtection="0"/>
    <xf numFmtId="4" fontId="10" fillId="7" borderId="22"/>
    <xf numFmtId="0" fontId="21" fillId="30" borderId="14" applyNumberFormat="0" applyAlignment="0" applyProtection="0"/>
    <xf numFmtId="4" fontId="10" fillId="0" borderId="22">
      <alignment horizontal="right" vertical="center"/>
    </xf>
    <xf numFmtId="4" fontId="7" fillId="8" borderId="23">
      <alignment horizontal="right" vertical="center"/>
    </xf>
    <xf numFmtId="0" fontId="24" fillId="17" borderId="14" applyNumberFormat="0" applyAlignment="0" applyProtection="0"/>
    <xf numFmtId="0" fontId="21" fillId="30" borderId="14" applyNumberFormat="0" applyAlignment="0" applyProtection="0"/>
    <xf numFmtId="0" fontId="21" fillId="30" borderId="14" applyNumberFormat="0" applyAlignment="0" applyProtection="0"/>
    <xf numFmtId="0" fontId="24" fillId="17" borderId="14" applyNumberFormat="0" applyAlignment="0" applyProtection="0"/>
    <xf numFmtId="0" fontId="37" fillId="30" borderId="13" applyNumberFormat="0" applyAlignment="0" applyProtection="0"/>
    <xf numFmtId="0" fontId="7" fillId="8" borderId="22">
      <alignment horizontal="right" vertical="center"/>
    </xf>
    <xf numFmtId="0" fontId="33" fillId="17" borderId="14" applyNumberFormat="0" applyAlignment="0" applyProtection="0"/>
    <xf numFmtId="4" fontId="7" fillId="8" borderId="22">
      <alignment horizontal="right" vertical="center"/>
    </xf>
    <xf numFmtId="0" fontId="10" fillId="7" borderId="22"/>
    <xf numFmtId="0" fontId="33" fillId="17" borderId="14" applyNumberFormat="0" applyAlignment="0" applyProtection="0"/>
    <xf numFmtId="0" fontId="18" fillId="30" borderId="13" applyNumberFormat="0" applyAlignment="0" applyProtection="0"/>
    <xf numFmtId="0" fontId="10" fillId="0" borderId="22">
      <alignment horizontal="right" vertical="center"/>
    </xf>
    <xf numFmtId="0" fontId="33" fillId="17" borderId="14" applyNumberFormat="0" applyAlignment="0" applyProtection="0"/>
    <xf numFmtId="0" fontId="7" fillId="6" borderId="22">
      <alignment horizontal="right" vertical="center"/>
    </xf>
    <xf numFmtId="4" fontId="10" fillId="0" borderId="22">
      <alignment horizontal="right" vertical="center"/>
    </xf>
    <xf numFmtId="49" fontId="9" fillId="0" borderId="22" applyNumberFormat="0" applyFill="0" applyBorder="0" applyProtection="0">
      <alignment horizontal="left" vertical="center"/>
    </xf>
    <xf numFmtId="0" fontId="20" fillId="30" borderId="14" applyNumberFormat="0" applyAlignment="0" applyProtection="0"/>
    <xf numFmtId="0" fontId="25" fillId="0" borderId="16" applyNumberFormat="0" applyFill="0" applyAlignment="0" applyProtection="0"/>
    <xf numFmtId="49" fontId="10" fillId="0" borderId="22" applyNumberFormat="0" applyFont="0" applyFill="0" applyBorder="0" applyProtection="0">
      <alignment horizontal="left" vertical="center" indent="2"/>
    </xf>
    <xf numFmtId="0" fontId="40" fillId="0" borderId="16" applyNumberFormat="0" applyFill="0" applyAlignment="0" applyProtection="0"/>
    <xf numFmtId="0" fontId="7" fillId="8" borderId="22">
      <alignment horizontal="right" vertical="center"/>
    </xf>
    <xf numFmtId="4" fontId="7" fillId="8" borderId="22">
      <alignment horizontal="right" vertical="center"/>
    </xf>
    <xf numFmtId="0" fontId="21" fillId="30" borderId="14" applyNumberFormat="0" applyAlignment="0" applyProtection="0"/>
    <xf numFmtId="0" fontId="7" fillId="8" borderId="24">
      <alignment horizontal="right" vertical="center"/>
    </xf>
    <xf numFmtId="0" fontId="10" fillId="8" borderId="25">
      <alignment horizontal="left" vertical="center" wrapText="1" indent="2"/>
    </xf>
    <xf numFmtId="4" fontId="12" fillId="6" borderId="22">
      <alignment horizontal="right" vertical="center"/>
    </xf>
    <xf numFmtId="0" fontId="7" fillId="8" borderId="24">
      <alignment horizontal="right" vertical="center"/>
    </xf>
    <xf numFmtId="4" fontId="7" fillId="8" borderId="24">
      <alignment horizontal="right" vertical="center"/>
    </xf>
    <xf numFmtId="0" fontId="37" fillId="30" borderId="13" applyNumberFormat="0" applyAlignment="0" applyProtection="0"/>
    <xf numFmtId="0" fontId="10" fillId="6" borderId="23">
      <alignment horizontal="left" vertical="center"/>
    </xf>
    <xf numFmtId="0" fontId="7" fillId="8" borderId="22">
      <alignment horizontal="right" vertical="center"/>
    </xf>
    <xf numFmtId="0" fontId="37" fillId="30" borderId="13" applyNumberFormat="0" applyAlignment="0" applyProtection="0"/>
    <xf numFmtId="0" fontId="15" fillId="33" borderId="21" applyNumberFormat="0" applyFont="0" applyAlignment="0" applyProtection="0"/>
    <xf numFmtId="0" fontId="10" fillId="0" borderId="22" applyNumberFormat="0" applyFill="0" applyAlignment="0" applyProtection="0"/>
    <xf numFmtId="0" fontId="15" fillId="33" borderId="21" applyNumberFormat="0" applyFont="0" applyAlignment="0" applyProtection="0"/>
    <xf numFmtId="0" fontId="12" fillId="6" borderId="22">
      <alignment horizontal="right" vertical="center"/>
    </xf>
    <xf numFmtId="0" fontId="7" fillId="6" borderId="22">
      <alignment horizontal="right" vertical="center"/>
    </xf>
    <xf numFmtId="0" fontId="37" fillId="30" borderId="13" applyNumberFormat="0" applyAlignment="0" applyProtection="0"/>
    <xf numFmtId="0" fontId="21" fillId="30" borderId="14" applyNumberFormat="0" applyAlignment="0" applyProtection="0"/>
    <xf numFmtId="49" fontId="9" fillId="0" borderId="22" applyNumberFormat="0" applyFill="0" applyBorder="0" applyProtection="0">
      <alignment horizontal="left" vertical="center"/>
    </xf>
    <xf numFmtId="0" fontId="33" fillId="17" borderId="14" applyNumberFormat="0" applyAlignment="0" applyProtection="0"/>
    <xf numFmtId="0" fontId="7" fillId="8" borderId="22">
      <alignment horizontal="right" vertical="center"/>
    </xf>
    <xf numFmtId="49" fontId="10" fillId="0" borderId="23" applyNumberFormat="0" applyFont="0" applyFill="0" applyBorder="0" applyProtection="0">
      <alignment horizontal="left" vertical="center" indent="5"/>
    </xf>
    <xf numFmtId="0" fontId="40" fillId="0" borderId="16" applyNumberFormat="0" applyFill="0" applyAlignment="0" applyProtection="0"/>
    <xf numFmtId="0" fontId="21" fillId="30" borderId="14" applyNumberFormat="0" applyAlignment="0" applyProtection="0"/>
    <xf numFmtId="0" fontId="10" fillId="0" borderId="25">
      <alignment horizontal="left" vertical="center" wrapText="1" indent="2"/>
    </xf>
    <xf numFmtId="0" fontId="37" fillId="30" borderId="13" applyNumberFormat="0" applyAlignment="0" applyProtection="0"/>
    <xf numFmtId="0" fontId="7" fillId="6" borderId="22">
      <alignment horizontal="right" vertical="center"/>
    </xf>
    <xf numFmtId="0" fontId="40" fillId="0" borderId="16" applyNumberFormat="0" applyFill="0" applyAlignment="0" applyProtection="0"/>
    <xf numFmtId="4" fontId="7" fillId="6" borderId="22">
      <alignment horizontal="right" vertical="center"/>
    </xf>
    <xf numFmtId="0" fontId="15" fillId="33" borderId="21" applyNumberFormat="0" applyFont="0" applyAlignment="0" applyProtection="0"/>
    <xf numFmtId="0" fontId="10" fillId="0" borderId="22" applyNumberFormat="0" applyFill="0" applyAlignment="0" applyProtection="0"/>
    <xf numFmtId="4" fontId="10" fillId="0" borderId="22" applyFill="0" applyBorder="0" applyProtection="0">
      <alignment horizontal="right" vertical="center"/>
    </xf>
    <xf numFmtId="4" fontId="7" fillId="8" borderId="24">
      <alignment horizontal="right" vertical="center"/>
    </xf>
    <xf numFmtId="0" fontId="10" fillId="7" borderId="22"/>
    <xf numFmtId="4" fontId="7" fillId="8" borderId="22">
      <alignment horizontal="right" vertical="center"/>
    </xf>
    <xf numFmtId="0" fontId="10" fillId="8" borderId="25">
      <alignment horizontal="left" vertical="center" wrapText="1" indent="2"/>
    </xf>
    <xf numFmtId="0" fontId="10" fillId="0" borderId="25">
      <alignment horizontal="left" vertical="center" wrapText="1" indent="2"/>
    </xf>
    <xf numFmtId="0" fontId="54" fillId="0" borderId="0"/>
    <xf numFmtId="49" fontId="10" fillId="0" borderId="23" applyNumberFormat="0" applyFont="0" applyFill="0" applyBorder="0" applyProtection="0">
      <alignment horizontal="left" vertical="center" indent="5"/>
    </xf>
    <xf numFmtId="0" fontId="7" fillId="8" borderId="23">
      <alignment horizontal="right" vertical="center"/>
    </xf>
    <xf numFmtId="4" fontId="7" fillId="8" borderId="23">
      <alignment horizontal="right" vertical="center"/>
    </xf>
    <xf numFmtId="0" fontId="10" fillId="6" borderId="23">
      <alignment horizontal="left" vertical="center"/>
    </xf>
    <xf numFmtId="0" fontId="10" fillId="0" borderId="25">
      <alignment horizontal="left" vertical="center" wrapText="1" indent="2"/>
    </xf>
    <xf numFmtId="0" fontId="7" fillId="8" borderId="23">
      <alignment horizontal="right" vertical="center"/>
    </xf>
    <xf numFmtId="0" fontId="7" fillId="8" borderId="23">
      <alignment horizontal="right" vertical="center"/>
    </xf>
    <xf numFmtId="4" fontId="7" fillId="8" borderId="23">
      <alignment horizontal="right" vertical="center"/>
    </xf>
    <xf numFmtId="0" fontId="10" fillId="8" borderId="25">
      <alignment horizontal="left" vertical="center" wrapText="1" indent="2"/>
    </xf>
    <xf numFmtId="0" fontId="10" fillId="0" borderId="25">
      <alignment horizontal="left" vertical="center" wrapText="1" indent="2"/>
    </xf>
    <xf numFmtId="0" fontId="10" fillId="6" borderId="23">
      <alignment horizontal="left" vertical="center"/>
    </xf>
    <xf numFmtId="49" fontId="10" fillId="0" borderId="23" applyNumberFormat="0" applyFont="0" applyFill="0" applyBorder="0" applyProtection="0">
      <alignment horizontal="left" vertical="center" indent="5"/>
    </xf>
    <xf numFmtId="9" fontId="4" fillId="0" borderId="0" applyFont="0" applyFill="0" applyBorder="0" applyAlignment="0" applyProtection="0"/>
    <xf numFmtId="0" fontId="10" fillId="0" borderId="0"/>
    <xf numFmtId="0" fontId="58" fillId="0" borderId="0" applyNumberFormat="0" applyFill="0" applyBorder="0" applyAlignment="0" applyProtection="0"/>
    <xf numFmtId="44" fontId="4" fillId="0" borderId="0" applyFont="0" applyFill="0" applyBorder="0" applyAlignment="0" applyProtection="0"/>
    <xf numFmtId="0" fontId="8" fillId="0" borderId="46"/>
  </cellStyleXfs>
  <cellXfs count="158">
    <xf numFmtId="0" fontId="0" fillId="0" borderId="0" xfId="0"/>
    <xf numFmtId="0" fontId="2" fillId="0" borderId="0" xfId="0" applyFont="1"/>
    <xf numFmtId="4" fontId="0" fillId="0" borderId="0" xfId="0" applyNumberFormat="1"/>
    <xf numFmtId="0" fontId="0" fillId="2" borderId="0" xfId="0" applyFill="1"/>
    <xf numFmtId="2" fontId="0" fillId="0" borderId="0" xfId="0" applyNumberFormat="1"/>
    <xf numFmtId="0" fontId="0" fillId="0" borderId="0" xfId="0" quotePrefix="1"/>
    <xf numFmtId="0" fontId="4" fillId="0" borderId="0" xfId="3"/>
    <xf numFmtId="164" fontId="0" fillId="0" borderId="0" xfId="0" applyNumberFormat="1"/>
    <xf numFmtId="0" fontId="0" fillId="0" borderId="0" xfId="0" applyFill="1"/>
    <xf numFmtId="0" fontId="0" fillId="0" borderId="0" xfId="0"/>
    <xf numFmtId="4" fontId="10" fillId="35" borderId="22" xfId="0" applyNumberFormat="1" applyFont="1" applyFill="1" applyBorder="1" applyAlignment="1">
      <alignment horizontal="right"/>
    </xf>
    <xf numFmtId="0" fontId="0" fillId="0" borderId="0" xfId="0"/>
    <xf numFmtId="0" fontId="9" fillId="11" borderId="22" xfId="7" applyFill="1" applyBorder="1" applyAlignment="1">
      <alignment horizontal="center" vertical="center" wrapText="1"/>
    </xf>
    <xf numFmtId="0" fontId="9" fillId="11" borderId="5" xfId="1555" applyFont="1" applyFill="1" applyBorder="1" applyAlignment="1">
      <alignment horizontal="center" vertical="center" wrapText="1"/>
    </xf>
    <xf numFmtId="0" fontId="9" fillId="11" borderId="22" xfId="1555" applyFont="1" applyFill="1" applyBorder="1" applyAlignment="1">
      <alignment horizontal="center" vertical="center" wrapText="1"/>
    </xf>
    <xf numFmtId="49" fontId="9" fillId="11" borderId="22" xfId="1555" applyNumberFormat="1" applyFont="1" applyFill="1" applyBorder="1" applyAlignment="1">
      <alignment horizontal="center" vertical="center"/>
    </xf>
    <xf numFmtId="167" fontId="0" fillId="0" borderId="0" xfId="0" applyNumberFormat="1"/>
    <xf numFmtId="0" fontId="0" fillId="0" borderId="0" xfId="0" applyBorder="1"/>
    <xf numFmtId="0" fontId="56" fillId="0" borderId="0" xfId="1" applyFont="1" applyBorder="1"/>
    <xf numFmtId="0" fontId="57" fillId="0" borderId="0" xfId="0" applyFont="1"/>
    <xf numFmtId="0" fontId="0" fillId="0" borderId="27" xfId="668" quotePrefix="1" applyFont="1" applyBorder="1"/>
    <xf numFmtId="0" fontId="0" fillId="0" borderId="0" xfId="0" applyFill="1" applyBorder="1"/>
    <xf numFmtId="0" fontId="56" fillId="0" borderId="0" xfId="1" applyFont="1" applyFill="1" applyBorder="1"/>
    <xf numFmtId="0" fontId="58" fillId="0" borderId="0" xfId="1556"/>
    <xf numFmtId="6" fontId="57" fillId="0" borderId="29" xfId="0" applyNumberFormat="1" applyFont="1" applyBorder="1" applyAlignment="1">
      <alignment vertical="center" wrapText="1"/>
    </xf>
    <xf numFmtId="169" fontId="0" fillId="0" borderId="31" xfId="1557" applyNumberFormat="1" applyFont="1" applyBorder="1" applyAlignment="1">
      <alignment vertical="center" wrapText="1"/>
    </xf>
    <xf numFmtId="0" fontId="2" fillId="0" borderId="7" xfId="0" applyFont="1" applyBorder="1" applyAlignment="1">
      <alignment horizontal="center" vertical="center" wrapText="1"/>
    </xf>
    <xf numFmtId="1" fontId="0" fillId="0" borderId="0" xfId="0" applyNumberFormat="1"/>
    <xf numFmtId="0" fontId="0" fillId="0" borderId="32" xfId="0" applyBorder="1"/>
    <xf numFmtId="4" fontId="0" fillId="0" borderId="0" xfId="0" applyNumberFormat="1" applyBorder="1"/>
    <xf numFmtId="4" fontId="0" fillId="0" borderId="0" xfId="0" applyNumberFormat="1" applyBorder="1" applyAlignment="1">
      <alignment horizontal="right"/>
    </xf>
    <xf numFmtId="1" fontId="0" fillId="2" borderId="0" xfId="0" applyNumberFormat="1" applyFill="1"/>
    <xf numFmtId="1" fontId="0" fillId="3" borderId="0" xfId="0" applyNumberFormat="1" applyFill="1"/>
    <xf numFmtId="1" fontId="0" fillId="0" borderId="7" xfId="0" applyNumberFormat="1" applyBorder="1" applyAlignment="1">
      <alignment horizontal="center" vertical="center" wrapText="1"/>
    </xf>
    <xf numFmtId="168" fontId="0" fillId="4" borderId="0" xfId="0" applyNumberFormat="1" applyFill="1"/>
    <xf numFmtId="0" fontId="60" fillId="36" borderId="0" xfId="0" applyFont="1" applyFill="1"/>
    <xf numFmtId="0" fontId="0" fillId="36" borderId="0" xfId="0" applyFill="1"/>
    <xf numFmtId="0" fontId="61" fillId="36" borderId="0" xfId="0" applyFont="1" applyFill="1"/>
    <xf numFmtId="0" fontId="58" fillId="36" borderId="0" xfId="1556" applyFill="1"/>
    <xf numFmtId="0" fontId="58" fillId="36" borderId="0" xfId="1556" applyFill="1" applyBorder="1"/>
    <xf numFmtId="0" fontId="2" fillId="37" borderId="0" xfId="0" applyFont="1" applyFill="1"/>
    <xf numFmtId="0" fontId="2" fillId="3" borderId="0" xfId="0" applyFont="1" applyFill="1"/>
    <xf numFmtId="0" fontId="0" fillId="37" borderId="0" xfId="0" applyFill="1"/>
    <xf numFmtId="171" fontId="0" fillId="0" borderId="0" xfId="0" applyNumberFormat="1"/>
    <xf numFmtId="2" fontId="2" fillId="0" borderId="0" xfId="0" applyNumberFormat="1" applyFont="1"/>
    <xf numFmtId="0" fontId="2" fillId="38" borderId="0" xfId="0" applyFont="1" applyFill="1"/>
    <xf numFmtId="0" fontId="0" fillId="38" borderId="0" xfId="0" applyFill="1"/>
    <xf numFmtId="2" fontId="0" fillId="38" borderId="0" xfId="0" applyNumberFormat="1" applyFill="1"/>
    <xf numFmtId="0" fontId="0" fillId="0" borderId="28" xfId="0" applyBorder="1" applyAlignment="1">
      <alignment vertical="center" wrapText="1"/>
    </xf>
    <xf numFmtId="0" fontId="2" fillId="0" borderId="34"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30" xfId="0" applyFont="1" applyBorder="1" applyAlignment="1">
      <alignment vertical="center" wrapText="1"/>
    </xf>
    <xf numFmtId="3" fontId="64" fillId="0" borderId="31" xfId="0" applyNumberFormat="1" applyFont="1" applyBorder="1" applyAlignment="1">
      <alignment horizontal="center" vertical="center" wrapText="1"/>
    </xf>
    <xf numFmtId="0" fontId="0" fillId="0" borderId="31" xfId="0" applyBorder="1" applyAlignment="1">
      <alignment horizontal="center" vertical="center" wrapText="1"/>
    </xf>
    <xf numFmtId="168" fontId="64" fillId="0" borderId="31" xfId="0" applyNumberFormat="1" applyFont="1" applyBorder="1" applyAlignment="1">
      <alignment horizontal="center" vertical="center" wrapText="1"/>
    </xf>
    <xf numFmtId="1" fontId="64" fillId="0" borderId="31" xfId="0" applyNumberFormat="1" applyFont="1" applyBorder="1" applyAlignment="1">
      <alignment horizontal="center" vertical="center" wrapText="1"/>
    </xf>
    <xf numFmtId="0" fontId="2" fillId="0" borderId="37" xfId="0" applyFont="1" applyBorder="1" applyAlignment="1">
      <alignment horizontal="center" vertical="center" wrapText="1"/>
    </xf>
    <xf numFmtId="0" fontId="2" fillId="0" borderId="38" xfId="0" applyFont="1" applyBorder="1" applyAlignment="1">
      <alignment vertical="center" wrapText="1"/>
    </xf>
    <xf numFmtId="3" fontId="66" fillId="0" borderId="39" xfId="0" applyNumberFormat="1" applyFont="1" applyBorder="1" applyAlignment="1">
      <alignment horizontal="center" vertical="center" wrapText="1"/>
    </xf>
    <xf numFmtId="0" fontId="66" fillId="0" borderId="39" xfId="0" applyFont="1" applyBorder="1" applyAlignment="1">
      <alignment horizontal="center" vertical="center" wrapText="1"/>
    </xf>
    <xf numFmtId="3" fontId="66" fillId="0" borderId="31" xfId="0" applyNumberFormat="1" applyFont="1" applyBorder="1" applyAlignment="1">
      <alignment horizontal="center" vertical="center" wrapText="1"/>
    </xf>
    <xf numFmtId="0" fontId="66" fillId="0" borderId="31" xfId="0" applyFont="1" applyBorder="1" applyAlignment="1">
      <alignment horizontal="center" vertical="center" wrapText="1"/>
    </xf>
    <xf numFmtId="3" fontId="66" fillId="0" borderId="34" xfId="0" applyNumberFormat="1" applyFont="1" applyBorder="1" applyAlignment="1">
      <alignment horizontal="center" vertical="center" wrapText="1"/>
    </xf>
    <xf numFmtId="0" fontId="0" fillId="0" borderId="28" xfId="0" applyBorder="1" applyAlignment="1">
      <alignment horizontal="left" vertical="center" wrapText="1"/>
    </xf>
    <xf numFmtId="9" fontId="0" fillId="0" borderId="31" xfId="0" applyNumberFormat="1" applyBorder="1" applyAlignment="1">
      <alignment horizontal="center" vertical="center" wrapText="1"/>
    </xf>
    <xf numFmtId="171" fontId="0" fillId="0" borderId="0" xfId="1554" applyNumberFormat="1" applyFont="1"/>
    <xf numFmtId="170" fontId="0" fillId="0" borderId="0" xfId="0" applyNumberFormat="1"/>
    <xf numFmtId="0" fontId="2" fillId="0" borderId="40" xfId="0" applyFont="1" applyBorder="1" applyAlignment="1">
      <alignment vertical="center" wrapText="1"/>
    </xf>
    <xf numFmtId="3" fontId="66" fillId="0" borderId="43" xfId="0" applyNumberFormat="1" applyFont="1" applyBorder="1" applyAlignment="1">
      <alignment horizontal="center" vertical="center" wrapText="1"/>
    </xf>
    <xf numFmtId="168" fontId="66" fillId="0" borderId="39" xfId="0" applyNumberFormat="1" applyFont="1" applyBorder="1" applyAlignment="1">
      <alignment horizontal="center" vertical="center" wrapText="1"/>
    </xf>
    <xf numFmtId="168" fontId="66" fillId="0" borderId="31" xfId="0" applyNumberFormat="1" applyFont="1" applyBorder="1" applyAlignment="1">
      <alignment horizontal="center" vertical="center" wrapText="1"/>
    </xf>
    <xf numFmtId="172" fontId="66" fillId="0" borderId="34" xfId="0" applyNumberFormat="1" applyFont="1" applyBorder="1" applyAlignment="1">
      <alignment horizontal="center" vertical="center" wrapText="1"/>
    </xf>
    <xf numFmtId="1" fontId="66" fillId="0" borderId="31" xfId="0" applyNumberFormat="1" applyFont="1" applyBorder="1" applyAlignment="1">
      <alignment horizontal="center" vertical="center" wrapText="1"/>
    </xf>
    <xf numFmtId="1" fontId="66" fillId="0" borderId="39" xfId="0" applyNumberFormat="1" applyFont="1" applyBorder="1" applyAlignment="1">
      <alignment horizontal="center" vertical="center" wrapText="1"/>
    </xf>
    <xf numFmtId="172" fontId="66" fillId="0" borderId="39" xfId="0" applyNumberFormat="1" applyFont="1" applyBorder="1" applyAlignment="1">
      <alignment horizontal="center" vertical="center" wrapText="1"/>
    </xf>
    <xf numFmtId="10" fontId="0" fillId="0" borderId="0" xfId="1554" applyNumberFormat="1" applyFont="1"/>
    <xf numFmtId="173" fontId="0" fillId="0" borderId="0" xfId="1554" applyNumberFormat="1" applyFont="1"/>
    <xf numFmtId="0" fontId="1" fillId="0" borderId="0" xfId="0" applyFont="1"/>
    <xf numFmtId="0" fontId="67" fillId="0" borderId="0" xfId="0" applyFont="1"/>
    <xf numFmtId="9" fontId="0" fillId="0" borderId="0" xfId="1554" applyFont="1"/>
    <xf numFmtId="0" fontId="0" fillId="39" borderId="0" xfId="0" applyFill="1"/>
    <xf numFmtId="0" fontId="0" fillId="40" borderId="0" xfId="0" applyFill="1"/>
    <xf numFmtId="0" fontId="0" fillId="41" borderId="0" xfId="0" applyFill="1"/>
    <xf numFmtId="0" fontId="68" fillId="42" borderId="44" xfId="0" applyFont="1" applyFill="1" applyBorder="1" applyAlignment="1">
      <alignment vertical="center" wrapText="1"/>
    </xf>
    <xf numFmtId="0" fontId="69" fillId="43" borderId="45" xfId="0" applyFont="1" applyFill="1" applyBorder="1" applyAlignment="1">
      <alignment vertical="center" wrapText="1"/>
    </xf>
    <xf numFmtId="4" fontId="4" fillId="0" borderId="0" xfId="3" applyNumberFormat="1"/>
    <xf numFmtId="2" fontId="0" fillId="0" borderId="0" xfId="1554" applyNumberFormat="1" applyFont="1"/>
    <xf numFmtId="0" fontId="70" fillId="0" borderId="0" xfId="0" applyFont="1"/>
    <xf numFmtId="0" fontId="2" fillId="0" borderId="0" xfId="0" applyFont="1" applyBorder="1"/>
    <xf numFmtId="9" fontId="0" fillId="2" borderId="0" xfId="1554" applyFont="1" applyFill="1" applyBorder="1"/>
    <xf numFmtId="0" fontId="0" fillId="4" borderId="0" xfId="0" applyFill="1" applyBorder="1"/>
    <xf numFmtId="0" fontId="56" fillId="0" borderId="0" xfId="0" applyFont="1"/>
    <xf numFmtId="0" fontId="72" fillId="0" borderId="0" xfId="0" applyFont="1"/>
    <xf numFmtId="4" fontId="56" fillId="0" borderId="0" xfId="0" applyNumberFormat="1" applyFont="1"/>
    <xf numFmtId="0" fontId="56" fillId="0" borderId="0" xfId="0" applyFont="1" applyBorder="1"/>
    <xf numFmtId="0" fontId="71" fillId="0" borderId="0" xfId="0" applyFont="1" applyBorder="1"/>
    <xf numFmtId="0" fontId="72" fillId="0" borderId="0" xfId="0" applyFont="1" applyBorder="1"/>
    <xf numFmtId="0" fontId="73" fillId="0" borderId="0" xfId="0" applyFont="1"/>
    <xf numFmtId="168" fontId="0" fillId="0" borderId="0" xfId="0" applyNumberFormat="1"/>
    <xf numFmtId="0" fontId="75" fillId="0" borderId="0" xfId="0" applyFont="1" applyAlignment="1">
      <alignment vertical="center"/>
    </xf>
    <xf numFmtId="0" fontId="0" fillId="0" borderId="0" xfId="0" applyFont="1" applyFill="1" applyBorder="1" applyAlignment="1">
      <alignment vertical="center" wrapText="1"/>
    </xf>
    <xf numFmtId="0" fontId="57" fillId="0" borderId="34" xfId="0" applyFont="1" applyFill="1" applyBorder="1" applyAlignment="1">
      <alignment horizontal="center" vertical="center" wrapText="1"/>
    </xf>
    <xf numFmtId="0" fontId="6" fillId="44" borderId="0" xfId="4" applyFill="1" applyAlignment="1">
      <alignment vertical="center"/>
    </xf>
    <xf numFmtId="0" fontId="10" fillId="44" borderId="0" xfId="6" applyFont="1" applyFill="1"/>
    <xf numFmtId="0" fontId="10" fillId="44" borderId="0" xfId="5" applyFont="1" applyFill="1">
      <alignment horizontal="right"/>
    </xf>
    <xf numFmtId="0" fontId="10" fillId="0" borderId="0" xfId="6" applyFont="1"/>
    <xf numFmtId="174" fontId="9" fillId="11" borderId="22" xfId="1555" applyNumberFormat="1" applyFont="1" applyFill="1" applyBorder="1" applyAlignment="1">
      <alignment horizontal="center" vertical="center" wrapText="1"/>
    </xf>
    <xf numFmtId="0" fontId="10" fillId="44" borderId="0" xfId="1558" applyFont="1" applyFill="1" applyBorder="1"/>
    <xf numFmtId="2" fontId="9" fillId="11" borderId="47" xfId="1555" applyNumberFormat="1" applyFont="1" applyFill="1" applyBorder="1" applyAlignment="1">
      <alignment horizontal="center" vertical="center"/>
    </xf>
    <xf numFmtId="2" fontId="9" fillId="11" borderId="50" xfId="1555" applyNumberFormat="1" applyFont="1" applyFill="1" applyBorder="1" applyAlignment="1">
      <alignment vertical="center" wrapText="1"/>
    </xf>
    <xf numFmtId="2" fontId="10" fillId="35" borderId="22" xfId="0" applyNumberFormat="1" applyFont="1" applyFill="1" applyBorder="1" applyAlignment="1">
      <alignment horizontal="right"/>
    </xf>
    <xf numFmtId="2" fontId="9" fillId="11" borderId="51" xfId="1555" applyNumberFormat="1" applyFont="1" applyFill="1" applyBorder="1" applyAlignment="1">
      <alignment vertical="center" wrapText="1"/>
    </xf>
    <xf numFmtId="0" fontId="10" fillId="11" borderId="22" xfId="6" applyFont="1" applyFill="1" applyBorder="1" applyAlignment="1">
      <alignment vertical="top" wrapText="1"/>
    </xf>
    <xf numFmtId="2" fontId="10" fillId="45" borderId="22" xfId="0" applyNumberFormat="1" applyFont="1" applyFill="1" applyBorder="1" applyAlignment="1">
      <alignment horizontal="right"/>
    </xf>
    <xf numFmtId="4" fontId="10" fillId="45" borderId="22" xfId="0" applyNumberFormat="1" applyFont="1" applyFill="1" applyBorder="1" applyAlignment="1">
      <alignment horizontal="right"/>
    </xf>
    <xf numFmtId="2" fontId="9" fillId="11" borderId="22" xfId="1555" applyNumberFormat="1" applyFont="1" applyFill="1" applyBorder="1" applyAlignment="1">
      <alignment vertical="center" wrapText="1"/>
    </xf>
    <xf numFmtId="0" fontId="9" fillId="11" borderId="22" xfId="6" applyFont="1" applyFill="1" applyBorder="1" applyAlignment="1">
      <alignment vertical="top" wrapText="1"/>
    </xf>
    <xf numFmtId="2" fontId="10" fillId="11" borderId="52" xfId="1555" applyNumberFormat="1" applyFill="1" applyBorder="1" applyAlignment="1">
      <alignment vertical="center" wrapText="1"/>
    </xf>
    <xf numFmtId="2" fontId="9" fillId="11" borderId="22" xfId="1555" applyNumberFormat="1" applyFont="1" applyFill="1" applyBorder="1" applyAlignment="1">
      <alignment horizontal="left" vertical="center" wrapText="1"/>
    </xf>
    <xf numFmtId="2" fontId="10" fillId="11" borderId="22" xfId="1555" applyNumberFormat="1" applyFill="1" applyBorder="1" applyAlignment="1">
      <alignment horizontal="left" vertical="center" wrapText="1"/>
    </xf>
    <xf numFmtId="2" fontId="10" fillId="44" borderId="0" xfId="1555" applyNumberFormat="1" applyFill="1" applyAlignment="1">
      <alignment horizontal="left" vertical="center"/>
    </xf>
    <xf numFmtId="0" fontId="10" fillId="44" borderId="0" xfId="12" applyFill="1" applyBorder="1">
      <alignment horizontal="right" vertical="center"/>
    </xf>
    <xf numFmtId="0" fontId="9" fillId="44" borderId="0" xfId="1555" applyFont="1" applyFill="1"/>
    <xf numFmtId="0" fontId="8" fillId="0" borderId="0" xfId="6"/>
    <xf numFmtId="0" fontId="10" fillId="11" borderId="0" xfId="6" applyFont="1" applyFill="1" applyAlignment="1">
      <alignment vertical="top" wrapText="1"/>
    </xf>
    <xf numFmtId="175" fontId="0" fillId="0" borderId="0" xfId="0" applyNumberFormat="1"/>
    <xf numFmtId="176" fontId="0" fillId="0" borderId="0" xfId="0" applyNumberFormat="1"/>
    <xf numFmtId="177" fontId="0" fillId="0" borderId="0" xfId="0" applyNumberFormat="1"/>
    <xf numFmtId="178" fontId="0" fillId="0" borderId="0" xfId="0" applyNumberFormat="1"/>
    <xf numFmtId="0" fontId="10" fillId="11" borderId="52" xfId="6" applyFont="1" applyFill="1" applyBorder="1" applyAlignment="1">
      <alignment vertical="top" wrapText="1"/>
    </xf>
    <xf numFmtId="0" fontId="72" fillId="0" borderId="22" xfId="7" applyFont="1" applyFill="1" applyBorder="1" applyAlignment="1">
      <alignment horizontal="center" vertical="center" wrapText="1"/>
    </xf>
    <xf numFmtId="0" fontId="72" fillId="0" borderId="22" xfId="1555" applyFont="1" applyBorder="1" applyAlignment="1">
      <alignment horizontal="center" vertical="center" wrapText="1"/>
    </xf>
    <xf numFmtId="0" fontId="72" fillId="0" borderId="53" xfId="1555" applyFont="1" applyBorder="1" applyAlignment="1">
      <alignment horizontal="center" vertical="center" wrapText="1"/>
    </xf>
    <xf numFmtId="49" fontId="56" fillId="0" borderId="22" xfId="1555" applyNumberFormat="1" applyFont="1" applyBorder="1" applyAlignment="1">
      <alignment horizontal="center" vertical="center"/>
    </xf>
    <xf numFmtId="166" fontId="56" fillId="0" borderId="22" xfId="0" applyNumberFormat="1" applyFont="1" applyBorder="1" applyAlignment="1">
      <alignment horizontal="right"/>
    </xf>
    <xf numFmtId="0" fontId="0" fillId="43" borderId="0" xfId="0" applyFill="1"/>
    <xf numFmtId="166" fontId="0" fillId="0" borderId="0" xfId="0" applyNumberFormat="1"/>
    <xf numFmtId="179" fontId="0" fillId="0" borderId="0" xfId="0" applyNumberFormat="1"/>
    <xf numFmtId="0" fontId="2" fillId="0" borderId="42"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3" xfId="0" applyFont="1" applyBorder="1" applyAlignment="1">
      <alignment horizontal="center" vertical="center" wrapText="1"/>
    </xf>
    <xf numFmtId="0" fontId="0" fillId="0" borderId="36" xfId="0" applyBorder="1" applyAlignment="1">
      <alignment vertical="center" wrapText="1"/>
    </xf>
    <xf numFmtId="0" fontId="0" fillId="0" borderId="30" xfId="0" applyBorder="1" applyAlignment="1">
      <alignment vertical="center" wrapText="1"/>
    </xf>
    <xf numFmtId="0" fontId="2" fillId="0" borderId="36" xfId="0" applyFont="1" applyBorder="1" applyAlignment="1">
      <alignment vertical="center" wrapText="1"/>
    </xf>
    <xf numFmtId="0" fontId="2" fillId="0" borderId="30" xfId="0" applyFont="1" applyBorder="1" applyAlignment="1">
      <alignment vertical="center" wrapText="1"/>
    </xf>
    <xf numFmtId="0" fontId="2" fillId="0" borderId="36"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5" xfId="0" applyFont="1" applyBorder="1" applyAlignment="1">
      <alignment horizontal="center" vertical="center"/>
    </xf>
    <xf numFmtId="0" fontId="2" fillId="0" borderId="33" xfId="0" applyFont="1" applyBorder="1" applyAlignment="1">
      <alignment horizontal="center" vertical="center"/>
    </xf>
    <xf numFmtId="0" fontId="2" fillId="0" borderId="29" xfId="0" applyFont="1" applyBorder="1" applyAlignment="1">
      <alignment horizontal="center" vertical="center"/>
    </xf>
    <xf numFmtId="0" fontId="9" fillId="11" borderId="26" xfId="7" applyFill="1" applyBorder="1" applyAlignment="1">
      <alignment horizontal="center" vertical="top" wrapText="1"/>
    </xf>
    <xf numFmtId="0" fontId="9" fillId="11" borderId="1" xfId="7" applyFill="1" applyBorder="1" applyAlignment="1">
      <alignment horizontal="center" vertical="top" wrapText="1"/>
    </xf>
    <xf numFmtId="2" fontId="9" fillId="11" borderId="22" xfId="1555" applyNumberFormat="1" applyFont="1" applyFill="1" applyBorder="1" applyAlignment="1">
      <alignment horizontal="center" vertical="center" wrapText="1"/>
    </xf>
    <xf numFmtId="2" fontId="9" fillId="11" borderId="47" xfId="1555" applyNumberFormat="1" applyFont="1" applyFill="1" applyBorder="1" applyAlignment="1">
      <alignment horizontal="center" vertical="center" wrapText="1"/>
    </xf>
    <xf numFmtId="2" fontId="9" fillId="11" borderId="48" xfId="1555" applyNumberFormat="1" applyFont="1" applyFill="1" applyBorder="1" applyAlignment="1">
      <alignment horizontal="center" vertical="center"/>
    </xf>
    <xf numFmtId="2" fontId="9" fillId="11" borderId="49" xfId="1555" applyNumberFormat="1" applyFont="1" applyFill="1" applyBorder="1" applyAlignment="1">
      <alignment horizontal="center" vertical="center"/>
    </xf>
  </cellXfs>
  <cellStyles count="1559">
    <cellStyle name="???????????" xfId="176" xr:uid="{7277DE91-E049-4A0A-BCBE-129931A36AE8}"/>
    <cellStyle name="???????_2++" xfId="177" xr:uid="{0B42F2B8-4533-477A-AF1B-FBCF6C06BD4E}"/>
    <cellStyle name="20 % - Akzent1" xfId="38" xr:uid="{209359BB-4936-46DE-B3EA-4DB1EC3A87D2}"/>
    <cellStyle name="20 % - Akzent1 2" xfId="363" xr:uid="{06DA855A-29F3-4B28-9F90-576D06DCFECB}"/>
    <cellStyle name="20 % - Akzent1 3" xfId="232" xr:uid="{85F1EE6C-EC6F-4E6B-8BE4-673055E7A80B}"/>
    <cellStyle name="20 % - Akzent2" xfId="39" xr:uid="{7D8B3A48-9624-4C68-9973-6774BFB40A3A}"/>
    <cellStyle name="20 % - Akzent2 2" xfId="364" xr:uid="{FB2C03FC-95B3-45DB-B9F0-D0881428538A}"/>
    <cellStyle name="20 % - Akzent2 3" xfId="233" xr:uid="{B0C688C9-195B-42E1-961E-A59282B0F5B7}"/>
    <cellStyle name="20 % - Akzent3" xfId="40" xr:uid="{990D0D38-52B0-4CF0-989F-ED43FE40D6B2}"/>
    <cellStyle name="20 % - Akzent3 2" xfId="365" xr:uid="{AAD93B60-FA3F-466C-A26A-9974618085E9}"/>
    <cellStyle name="20 % - Akzent3 3" xfId="234" xr:uid="{149C6BF4-9D31-4DD5-A02E-D4768EEEECCD}"/>
    <cellStyle name="20 % - Akzent4" xfId="41" xr:uid="{283FC131-D0C1-4402-A8AF-B1EB21300265}"/>
    <cellStyle name="20 % - Akzent4 2" xfId="366" xr:uid="{5800E206-7E2D-457B-B33B-54CFCA80B0AD}"/>
    <cellStyle name="20 % - Akzent4 3" xfId="235" xr:uid="{19A38CCC-5F18-42C5-BC92-496BFAFB21FC}"/>
    <cellStyle name="20 % - Akzent5" xfId="42" xr:uid="{211E054C-0EF1-4396-9BBB-762678F835CB}"/>
    <cellStyle name="20 % - Akzent5 2" xfId="367" xr:uid="{34F83D91-B898-4E5F-B8C5-28C04E323BE6}"/>
    <cellStyle name="20 % - Akzent5 3" xfId="236" xr:uid="{52F37AB6-D6D8-47EA-9FE3-635FED810F52}"/>
    <cellStyle name="20 % - Akzent6" xfId="43" xr:uid="{CEE25333-7537-4360-B3D3-168527A1F6C0}"/>
    <cellStyle name="20 % - Akzent6 2" xfId="368" xr:uid="{0EA9103D-797A-4411-88FB-8C5806529E1E}"/>
    <cellStyle name="20 % - Akzent6 3" xfId="237" xr:uid="{6DCC4D43-5663-46D9-B851-70D4300AEB65}"/>
    <cellStyle name="20% - Accent1 2" xfId="44" xr:uid="{D1DF2396-1A0B-467D-BF42-C806FDC276C9}"/>
    <cellStyle name="20% - Accent1 3" xfId="189" xr:uid="{9EFB0A3F-DBBB-4F85-9B8A-F87EB0E46041}"/>
    <cellStyle name="20% - Accent2 2" xfId="45" xr:uid="{658AC06B-7358-453B-BEF5-626757244D7A}"/>
    <cellStyle name="20% - Accent2 3" xfId="190" xr:uid="{34F63CF5-720E-4E10-8030-122D9811D08E}"/>
    <cellStyle name="20% - Accent3 2" xfId="46" xr:uid="{C10BB9EF-AFEC-407C-8613-B08B4AA37CCE}"/>
    <cellStyle name="20% - Accent3 3" xfId="191" xr:uid="{1458EAB9-08C7-49DC-9C0E-B0B8B9645BAA}"/>
    <cellStyle name="20% - Accent4 2" xfId="47" xr:uid="{8A868631-3643-472E-BF9E-200EC3365139}"/>
    <cellStyle name="20% - Accent4 3" xfId="192" xr:uid="{A142A05B-790A-4CE7-AE46-4CA4F053A598}"/>
    <cellStyle name="20% - Accent5 2" xfId="48" xr:uid="{E68FC139-BB79-4894-AF82-C8276A60C51C}"/>
    <cellStyle name="20% - Accent5 3" xfId="193" xr:uid="{C5F163C7-A1D4-4C66-A584-B6F57A0FBB7B}"/>
    <cellStyle name="20% - Accent6 2" xfId="49" xr:uid="{91BEC083-E607-4639-AB54-DE810236E600}"/>
    <cellStyle name="20% - Accent6 3" xfId="194" xr:uid="{D6814776-4015-43A5-BFBD-80884D49EE66}"/>
    <cellStyle name="2x indented GHG Textfiels" xfId="10" xr:uid="{2F6C8CBE-E84C-4B8D-AF08-016E25487B5F}"/>
    <cellStyle name="2x indented GHG Textfiels 2" xfId="50" xr:uid="{241E9083-C30C-42B5-9C3A-27EABEB3A7EB}"/>
    <cellStyle name="2x indented GHG Textfiels 2 2" xfId="51" xr:uid="{FF20087B-D4FD-4660-8F0C-6FD3AF2478C3}"/>
    <cellStyle name="2x indented GHG Textfiels 3" xfId="52" xr:uid="{F2D75E89-80DD-48DD-B01D-1A7E6589F3D4}"/>
    <cellStyle name="2x indented GHG Textfiels 3 2" xfId="390" xr:uid="{0307A938-C44C-49B9-8813-53A9C15161C9}"/>
    <cellStyle name="2x indented GHG Textfiels 3 2 2" xfId="520" xr:uid="{067D64AE-9C2E-4A55-B9A4-4EDA2070526D}"/>
    <cellStyle name="2x indented GHG Textfiels 3 2 2 2" xfId="1195" xr:uid="{ABA6C508-F0E3-4F3C-B0DE-12839AD769D6}"/>
    <cellStyle name="2x indented GHG Textfiels 3 2 2 2 2" xfId="959" xr:uid="{66E27A68-9359-490A-8B83-77687CF77CD3}"/>
    <cellStyle name="2x indented GHG Textfiels 3 2 2 3" xfId="981" xr:uid="{724E8F32-7295-46B0-863D-82D7F5BDC12D}"/>
    <cellStyle name="2x indented GHG Textfiels 3 2 2 4" xfId="1429" xr:uid="{4B411450-A3B5-4959-AC87-DAD4AEFB4851}"/>
    <cellStyle name="2x indented GHG Textfiels 3 2 3" xfId="1158" xr:uid="{DB7C571E-F534-4DD2-ACCF-03F156FB91E6}"/>
    <cellStyle name="2x indented GHG Textfiels 3 2 3 2" xfId="689" xr:uid="{CDBE605A-69A6-407B-9DAC-67D66F99BB22}"/>
    <cellStyle name="2x indented GHG Textfiels 3 3" xfId="338" xr:uid="{08ACA929-DE47-4208-A255-160C3A1A6981}"/>
    <cellStyle name="2x indented GHG Textfiels 3 3 2" xfId="625" xr:uid="{09E954D4-CA37-439D-BEA7-C6447220B8B9}"/>
    <cellStyle name="2x indented GHG Textfiels 3 3 2 2" xfId="1300" xr:uid="{FEC1854A-A831-4E50-B88B-D62481E8C881}"/>
    <cellStyle name="2x indented GHG Textfiels 3 3 2 2 2" xfId="1451" xr:uid="{7F2011A3-0B4E-4716-9254-82DD61929882}"/>
    <cellStyle name="2x indented GHG Textfiels 3 3 2 3" xfId="1086" xr:uid="{9F81D1E9-C3AE-4CFB-B581-E25152C24653}"/>
    <cellStyle name="2x indented GHG Textfiels 3 3 2 4" xfId="1501" xr:uid="{EA622E35-90EC-43B7-931D-6EFE472C1CED}"/>
    <cellStyle name="2x indented GHG Textfiels 3 3 3" xfId="627" xr:uid="{515E71DE-5BF3-4E9A-9386-38A336715F17}"/>
    <cellStyle name="2x indented GHG Textfiels 3 3 3 2" xfId="1302" xr:uid="{04984E61-3DAF-42B2-A0E5-5B3D913480DB}"/>
    <cellStyle name="2x indented GHG Textfiels 3 3 3 2 2" xfId="1373" xr:uid="{F5428867-2931-4750-BF82-4F64B24FFF6C}"/>
    <cellStyle name="2x indented GHG Textfiels 3 3 3 3" xfId="1088" xr:uid="{01E90C36-AF23-4ED7-93CE-69D73258502F}"/>
    <cellStyle name="2x indented GHG Textfiels 3 3 3 4" xfId="807" xr:uid="{84E73158-A1D6-4066-91B1-4B78426B7FB0}"/>
    <cellStyle name="2x indented GHG Textfiels 3 3 4" xfId="523" xr:uid="{79AD76A3-D8B0-4666-AC9B-6D2C61AECFA6}"/>
    <cellStyle name="2x indented GHG Textfiels 3 3 4 2" xfId="1198" xr:uid="{68059587-7F81-439F-873D-8880F739DB14}"/>
    <cellStyle name="2x indented GHG Textfiels 3 3 4 2 2" xfId="804" xr:uid="{241525D0-D9D7-4B0A-B59E-F0EDB9249957}"/>
    <cellStyle name="2x indented GHG Textfiels 3 3 4 3" xfId="984" xr:uid="{565F963A-3B21-4E31-9FB7-1765B73083FA}"/>
    <cellStyle name="2x indented GHG Textfiels 3 3 4 4" xfId="1446" xr:uid="{78C7750F-3892-42CA-B5F0-3620230BD5BF}"/>
    <cellStyle name="2x indented GHG Textfiels 3 3 5" xfId="873" xr:uid="{A81BE73A-E5AC-46B7-B9C9-6A77A757C4E9}"/>
    <cellStyle name="2x indented GHG Textfiels 3 3 6" xfId="923" xr:uid="{D5E82EC3-5068-4B33-B4DD-ED67B7B614E5}"/>
    <cellStyle name="40 % - Akzent1" xfId="53" xr:uid="{7F71D32A-A007-4B48-B9C4-5FA0C2D04B27}"/>
    <cellStyle name="40 % - Akzent1 2" xfId="369" xr:uid="{4109B242-1458-4019-A9EE-181EB8EB1F47}"/>
    <cellStyle name="40 % - Akzent1 3" xfId="238" xr:uid="{1313EC32-8B7E-4369-8A12-8A2D0ADA6306}"/>
    <cellStyle name="40 % - Akzent2" xfId="54" xr:uid="{5180D5E3-118F-422A-8946-A67B32B06399}"/>
    <cellStyle name="40 % - Akzent2 2" xfId="370" xr:uid="{26180FAB-9B6F-4D2E-9DD6-08DFFD164E53}"/>
    <cellStyle name="40 % - Akzent2 3" xfId="239" xr:uid="{0EBF6921-7A08-4062-97DD-16A9B6936F51}"/>
    <cellStyle name="40 % - Akzent3" xfId="55" xr:uid="{7FF8D495-5A46-4FC7-A9AA-3C3A429BFCB0}"/>
    <cellStyle name="40 % - Akzent3 2" xfId="371" xr:uid="{12AD2E05-CD18-428A-9F7D-6F161897A91D}"/>
    <cellStyle name="40 % - Akzent3 3" xfId="240" xr:uid="{19C8D73F-3FB5-4FA5-BC2D-4CC83FDB6262}"/>
    <cellStyle name="40 % - Akzent4" xfId="56" xr:uid="{AC83D485-E834-4E01-BDA4-A81FBA2D2C6C}"/>
    <cellStyle name="40 % - Akzent4 2" xfId="372" xr:uid="{2FBD2929-564D-4CF2-BBFD-B97A115ED19D}"/>
    <cellStyle name="40 % - Akzent4 3" xfId="241" xr:uid="{B2324344-5C1A-4679-AC50-AED990F5BFD3}"/>
    <cellStyle name="40 % - Akzent5" xfId="57" xr:uid="{F3C647FC-8AEF-4535-9A35-02876050CB66}"/>
    <cellStyle name="40 % - Akzent5 2" xfId="373" xr:uid="{6C45F69A-AFC5-4488-871F-803A681D3512}"/>
    <cellStyle name="40 % - Akzent5 3" xfId="242" xr:uid="{CC83AD44-504B-4E0C-9007-EF3F2B2A2E1A}"/>
    <cellStyle name="40 % - Akzent6" xfId="58" xr:uid="{B49FFC28-D809-4670-80B9-E8A877433BD9}"/>
    <cellStyle name="40 % - Akzent6 2" xfId="374" xr:uid="{78F013C9-4F99-4EAD-9A64-1DBD0B098853}"/>
    <cellStyle name="40 % - Akzent6 3" xfId="243" xr:uid="{E68F2E31-2CDE-437B-9C71-933CB83F6A4B}"/>
    <cellStyle name="40% - Accent1 2" xfId="59" xr:uid="{E4264175-0A18-4D06-B9AC-F02D21517CCD}"/>
    <cellStyle name="40% - Accent1 3" xfId="195" xr:uid="{FD40A1CD-18B2-443E-91AC-B819BF64BD63}"/>
    <cellStyle name="40% - Accent2 2" xfId="60" xr:uid="{4F1247CF-B5E5-4645-AC7B-8506718B34C1}"/>
    <cellStyle name="40% - Accent2 3" xfId="196" xr:uid="{5FBC476D-C176-4BDF-8B7F-E6BA473DA419}"/>
    <cellStyle name="40% - Accent3 2" xfId="61" xr:uid="{F6A3D072-A51E-4B52-A7E2-E4DD245BBFAE}"/>
    <cellStyle name="40% - Accent3 3" xfId="197" xr:uid="{7053646D-D030-4E9A-9428-F3BE1234C137}"/>
    <cellStyle name="40% - Accent4 2" xfId="62" xr:uid="{49FA1873-274E-44CF-B603-4F06EE0C7147}"/>
    <cellStyle name="40% - Accent4 3" xfId="198" xr:uid="{D3C68CDF-CBAF-48D0-A612-98A675FBDB17}"/>
    <cellStyle name="40% - Accent5 2" xfId="63" xr:uid="{19BED8C5-0680-4429-891D-020E69904A80}"/>
    <cellStyle name="40% - Accent5 3" xfId="199" xr:uid="{0461E30D-E568-4A5A-A71D-D305FE6FEACD}"/>
    <cellStyle name="40% - Accent6 2" xfId="64" xr:uid="{9EA55993-18B3-4591-99AD-0FAE7DE86F98}"/>
    <cellStyle name="40% - Accent6 3" xfId="200" xr:uid="{11108C39-1E0C-44DD-A20B-AC0C319242F1}"/>
    <cellStyle name="5x indented GHG Textfiels" xfId="14" xr:uid="{8BD607C4-F6C9-40E2-B192-AFFD6D276449}"/>
    <cellStyle name="5x indented GHG Textfiels 2" xfId="65" xr:uid="{1713A992-B636-4126-A3A3-1103F4877D0E}"/>
    <cellStyle name="5x indented GHG Textfiels 2 2" xfId="66" xr:uid="{39013128-1B13-4B43-9DFF-40B992619395}"/>
    <cellStyle name="5x indented GHG Textfiels 3" xfId="67" xr:uid="{1F2E7530-9E02-4C44-BE27-E26F2DA906B5}"/>
    <cellStyle name="5x indented GHG Textfiels 3 2" xfId="391" xr:uid="{C29FFBCB-A109-4124-95D9-8C781CB93CA9}"/>
    <cellStyle name="5x indented GHG Textfiels 3 2 2" xfId="1542" xr:uid="{ED887AB8-3C9A-43A0-BD57-41FE16956406}"/>
    <cellStyle name="5x indented GHG Textfiels 3 3" xfId="339" xr:uid="{81407AEF-5F8D-4523-A69D-F0990A25072B}"/>
    <cellStyle name="5x indented GHG Textfiels 3 3 2" xfId="626" xr:uid="{752B1ACE-D8BF-4E76-908C-E857F3CED612}"/>
    <cellStyle name="5x indented GHG Textfiels 3 3 2 2" xfId="1301" xr:uid="{D216D58D-5B89-459E-8D33-E95E411F27FD}"/>
    <cellStyle name="5x indented GHG Textfiels 3 3 2 2 2" xfId="1470" xr:uid="{8E443468-623D-426A-BD7C-D2E1CB24162F}"/>
    <cellStyle name="5x indented GHG Textfiels 3 3 2 3" xfId="1087" xr:uid="{A6A9DE87-FC91-48CC-AA02-AE2C29CF78B7}"/>
    <cellStyle name="5x indented GHG Textfiels 3 3 2 4" xfId="1400" xr:uid="{29577C7D-1E66-4B76-B27A-F83CA44A0789}"/>
    <cellStyle name="5x indented GHG Textfiels 3 3 3" xfId="573" xr:uid="{8D668AF2-7F28-414A-A9E0-B313A724CD86}"/>
    <cellStyle name="5x indented GHG Textfiels 3 3 3 2" xfId="1248" xr:uid="{285158C5-3A8B-4FC2-B2DB-9AB495D60164}"/>
    <cellStyle name="5x indented GHG Textfiels 3 3 3 2 2" xfId="864" xr:uid="{31C08504-2D2A-44EB-9CDC-3C8A57C891E9}"/>
    <cellStyle name="5x indented GHG Textfiels 3 3 3 3" xfId="1034" xr:uid="{1629A283-8069-4ED7-802D-570569F1C550}"/>
    <cellStyle name="5x indented GHG Textfiels 3 3 3 4" xfId="1420" xr:uid="{771838F3-529C-4B56-BDD0-1DB5E21624E6}"/>
    <cellStyle name="5x indented GHG Textfiels 3 3 4" xfId="657" xr:uid="{4F67BD53-43AB-4432-ADF0-37E9871E31DD}"/>
    <cellStyle name="5x indented GHG Textfiels 3 3 4 2" xfId="1332" xr:uid="{C18D6D6F-4C6D-446D-A4D9-4A675AE46924}"/>
    <cellStyle name="5x indented GHG Textfiels 3 3 4 2 2" xfId="793" xr:uid="{C2E4A57C-C1EB-47D9-AE7A-C9716165B876}"/>
    <cellStyle name="5x indented GHG Textfiels 3 3 4 3" xfId="1118" xr:uid="{0AC7F015-BB47-4B72-9536-ECADB7B3DA4C}"/>
    <cellStyle name="5x indented GHG Textfiels 3 3 4 4" xfId="1525" xr:uid="{6EC45CAB-C055-4A7C-8848-9CECEB80410B}"/>
    <cellStyle name="5x indented GHG Textfiels 3 3 5" xfId="1154" xr:uid="{C0DB7C8F-C275-48B6-8176-DF429CD222FB}"/>
    <cellStyle name="5x indented GHG Textfiels 3 3 5 2" xfId="1553" xr:uid="{BC98CFAA-FE13-4F02-A675-CD7CA56F4F31}"/>
    <cellStyle name="5x indented GHG Textfiels 3 3 6" xfId="874" xr:uid="{DD2EEE45-332C-47E9-BD65-A9815C98352A}"/>
    <cellStyle name="5x indented GHG Textfiels 3 3 7" xfId="692" xr:uid="{C79F89B6-BAA2-469A-89F0-4E99B202E983}"/>
    <cellStyle name="5x indented GHG Textfiels_Table 4(II)" xfId="178" xr:uid="{791CF69C-1AC9-404B-AF6C-97F559A58A2F}"/>
    <cellStyle name="60 % - Akzent1" xfId="68" xr:uid="{A2AAA909-E12D-4FC2-BBA1-BC19A7FE20ED}"/>
    <cellStyle name="60 % - Akzent1 2" xfId="375" xr:uid="{78C71A1C-33E3-49FA-9DED-94DA3EB4026A}"/>
    <cellStyle name="60 % - Akzent1 3" xfId="244" xr:uid="{1049B8E2-44D6-4C0E-86A0-0523CA2FA0A3}"/>
    <cellStyle name="60 % - Akzent2" xfId="69" xr:uid="{5A1B3438-3D39-4742-BA17-2C5EA6448051}"/>
    <cellStyle name="60 % - Akzent2 2" xfId="376" xr:uid="{AA5E9565-E167-4350-8537-712019B10237}"/>
    <cellStyle name="60 % - Akzent2 3" xfId="245" xr:uid="{6AF0325C-27CB-4368-9622-B0B942752926}"/>
    <cellStyle name="60 % - Akzent3" xfId="70" xr:uid="{579ED357-FC92-49EA-B4F2-775D5798823A}"/>
    <cellStyle name="60 % - Akzent3 2" xfId="377" xr:uid="{C4F4BEBB-3BF9-4733-9F9C-04A7D26B3C64}"/>
    <cellStyle name="60 % - Akzent3 3" xfId="246" xr:uid="{9D651446-1C25-43AC-9A8E-33985692259B}"/>
    <cellStyle name="60 % - Akzent4" xfId="71" xr:uid="{EB093DD8-084A-4712-9ACF-DE4C311FC4C5}"/>
    <cellStyle name="60 % - Akzent4 2" xfId="378" xr:uid="{602A73E4-07D0-45C0-BA14-C61D3EF022EE}"/>
    <cellStyle name="60 % - Akzent4 3" xfId="247" xr:uid="{B9C04079-C5AC-475E-9635-682AC38BF6FF}"/>
    <cellStyle name="60 % - Akzent5" xfId="72" xr:uid="{22514F46-BB92-45DF-AA1F-A7F9356E2002}"/>
    <cellStyle name="60 % - Akzent5 2" xfId="379" xr:uid="{2794119B-220A-4D4B-90F3-B111B1330ED5}"/>
    <cellStyle name="60 % - Akzent5 3" xfId="248" xr:uid="{EB4F5BD4-DFF3-4117-B461-9740924A319A}"/>
    <cellStyle name="60 % - Akzent6" xfId="73" xr:uid="{C2B6D51A-A7D3-44D1-AABF-6BDE00BDC205}"/>
    <cellStyle name="60 % - Akzent6 2" xfId="380" xr:uid="{E8925548-115C-455D-9100-348AABB50CE4}"/>
    <cellStyle name="60 % - Akzent6 3" xfId="249" xr:uid="{D76BF273-A0C9-4AEB-A5A5-AA25953E15AF}"/>
    <cellStyle name="60% - Accent1 2" xfId="74" xr:uid="{68D41040-A9C5-4F37-8E19-48CB85FBC3A2}"/>
    <cellStyle name="60% - Accent1 3" xfId="201" xr:uid="{4A4DB60B-97D3-4FD8-97CC-0ABC9BBB21B0}"/>
    <cellStyle name="60% - Accent2 2" xfId="75" xr:uid="{70D9726B-77E1-47C5-9F0F-EBBE1984E2E5}"/>
    <cellStyle name="60% - Accent2 3" xfId="202" xr:uid="{9F3361FF-7681-4860-8617-11246204513B}"/>
    <cellStyle name="60% - Accent3 2" xfId="76" xr:uid="{0096D280-4513-4596-8913-8BA108BCB1C6}"/>
    <cellStyle name="60% - Accent3 3" xfId="203" xr:uid="{41A8FD15-0409-4721-8674-8FC31C73812E}"/>
    <cellStyle name="60% - Accent4 2" xfId="77" xr:uid="{AD98423B-DC9B-411D-9478-046418FC8D6A}"/>
    <cellStyle name="60% - Accent4 3" xfId="204" xr:uid="{F34C8C40-91C9-48D1-8F64-73F5CF1772AA}"/>
    <cellStyle name="60% - Accent5 2" xfId="78" xr:uid="{51465DE6-1780-4D7C-81DB-4167DAA462C2}"/>
    <cellStyle name="60% - Accent5 3" xfId="205" xr:uid="{55194ABB-73B4-448A-AA29-1E1308090157}"/>
    <cellStyle name="60% - Accent6 2" xfId="79" xr:uid="{8D972805-C3F0-4068-9998-00425FA55569}"/>
    <cellStyle name="60% - Accent6 3" xfId="206" xr:uid="{65FD28BD-99FD-464B-9554-6EFAB0C2A6D0}"/>
    <cellStyle name="Accent1 2" xfId="80" xr:uid="{33F3C2CB-7D3E-4FEF-8482-05CFF3C81A14}"/>
    <cellStyle name="Accent1 3" xfId="207" xr:uid="{498A3E02-12A8-4C7B-9B87-5F26ABF12E65}"/>
    <cellStyle name="Accent1 4" xfId="340" xr:uid="{75A76C88-83BC-426C-96C4-9D21BAD22107}"/>
    <cellStyle name="Accent2 2" xfId="81" xr:uid="{C388E4A9-13C9-4E87-A6F9-26D51303B0C1}"/>
    <cellStyle name="Accent2 3" xfId="208" xr:uid="{D90737D7-519E-410D-8D00-15B7EC5CFB5F}"/>
    <cellStyle name="Accent2 4" xfId="341" xr:uid="{EC3D10DA-1880-4377-87C1-030D3129832A}"/>
    <cellStyle name="Accent3 2" xfId="82" xr:uid="{F10C2622-099E-4A23-BB1E-5ECD2444BC5B}"/>
    <cellStyle name="Accent3 3" xfId="209" xr:uid="{A5FDFB8C-8FDD-4BA7-8987-7124BC3AAFF3}"/>
    <cellStyle name="Accent3 4" xfId="342" xr:uid="{5DC7DED1-7978-460D-9DED-CCC4765A6791}"/>
    <cellStyle name="Accent4 2" xfId="83" xr:uid="{E254A0BF-1B9C-4047-8CB3-C0DA59E8A61F}"/>
    <cellStyle name="Accent4 3" xfId="210" xr:uid="{5397A64A-2D3B-4A83-8ED3-1E89CFFA2383}"/>
    <cellStyle name="Accent4 4" xfId="343" xr:uid="{3D295B8A-CEF2-4D57-840C-66B3342C8C06}"/>
    <cellStyle name="Accent5 2" xfId="84" xr:uid="{6FBF9075-5402-4A45-B74D-344198A17A8D}"/>
    <cellStyle name="Accent5 3" xfId="211" xr:uid="{AD83EEBA-B634-4E77-AB55-503BE570A086}"/>
    <cellStyle name="Accent5 4" xfId="344" xr:uid="{0BC52D6E-E087-498C-8889-E2509295D34E}"/>
    <cellStyle name="Accent6 2" xfId="85" xr:uid="{3B232F0F-E86D-40D9-83A7-A091B6114598}"/>
    <cellStyle name="Accent6 3" xfId="212" xr:uid="{04426282-0D67-4B42-B347-CC09DA060368}"/>
    <cellStyle name="Accent6 4" xfId="345" xr:uid="{3B82BAC3-21E4-405E-99E8-8A64511C30D6}"/>
    <cellStyle name="AggblueBoldCels" xfId="86" xr:uid="{045B1D05-53F0-4FD8-B6FB-EB0EBDA13976}"/>
    <cellStyle name="AggblueBoldCels 2" xfId="87" xr:uid="{AB5081A0-006B-4384-AE08-2D7C4F06ACC9}"/>
    <cellStyle name="AggblueCels" xfId="35" xr:uid="{9D19B4D5-EE38-4E74-A970-8A3AD6D68339}"/>
    <cellStyle name="AggblueCels 2" xfId="88" xr:uid="{E6DFBCB2-D852-4136-A573-9EEA56040525}"/>
    <cellStyle name="AggblueCels_1x" xfId="34" xr:uid="{A5F88188-9C12-4032-96AE-F458B455A3EF}"/>
    <cellStyle name="AggBoldCells" xfId="8" xr:uid="{E8A0F4DC-19F7-4CFB-9932-B326FA8C04DE}"/>
    <cellStyle name="AggBoldCells 2" xfId="89" xr:uid="{7156BDC7-E739-4B0A-B90C-D11948532707}"/>
    <cellStyle name="AggBoldCells 3" xfId="179" xr:uid="{E83266D1-1914-42C2-9A65-C1858387A497}"/>
    <cellStyle name="AggBoldCells 4" xfId="334" xr:uid="{ADD36AFD-E007-4588-8992-642000DC0347}"/>
    <cellStyle name="AggCels" xfId="11" xr:uid="{0BE37311-A5B6-4783-B319-673C24321664}"/>
    <cellStyle name="AggCels 2" xfId="90" xr:uid="{0D838648-7131-46C2-A31B-33FCD12C216F}"/>
    <cellStyle name="AggCels 3" xfId="180" xr:uid="{DAF944EE-94CD-48C8-92AC-44B3B513DA69}"/>
    <cellStyle name="AggCels 4" xfId="335" xr:uid="{DE719C5D-E760-4C5F-BF23-8BA14A782D9F}"/>
    <cellStyle name="AggCels_T(2)" xfId="9" xr:uid="{896A28BC-93B6-471D-9186-9697FA7BA996}"/>
    <cellStyle name="AggGreen" xfId="25" xr:uid="{BC1151A0-9861-4354-ADA1-F0434F669BD2}"/>
    <cellStyle name="AggGreen 2" xfId="91" xr:uid="{AFD7EF5C-225A-4E1D-B616-5993AE985694}"/>
    <cellStyle name="AggGreen 2 2" xfId="393" xr:uid="{9761F480-F785-4BE0-A896-E4C8700FECA0}"/>
    <cellStyle name="AggGreen 2 2 2" xfId="570" xr:uid="{BAD4C10A-F10E-4092-B3EC-5318FD237912}"/>
    <cellStyle name="AggGreen 2 2 2 2" xfId="1245" xr:uid="{B3A41899-A424-445E-9443-2E14DB399F3C}"/>
    <cellStyle name="AggGreen 2 2 2 2 2" xfId="851" xr:uid="{A698DCCB-D4A5-486E-ABF4-AF8A06CAA34F}"/>
    <cellStyle name="AggGreen 2 2 2 3" xfId="1031" xr:uid="{36A3FD5F-1416-44DA-973E-5534578660F0}"/>
    <cellStyle name="AggGreen 2 2 2 4" xfId="1532" xr:uid="{9B5B627C-0150-4BB7-9205-00840D046879}"/>
    <cellStyle name="AggGreen 2 2 3" xfId="1160" xr:uid="{E78082DC-E8EA-494C-A7F8-353E6FBA0535}"/>
    <cellStyle name="AggGreen 2 2 3 2" xfId="869" xr:uid="{2B9F78E7-71A1-4119-92AC-72006630CDFF}"/>
    <cellStyle name="AggGreen 2 3" xfId="251" xr:uid="{61099CDD-7129-4A0E-97AC-0A936DAA603A}"/>
    <cellStyle name="AggGreen 2 3 2" xfId="590" xr:uid="{568692E3-B845-44A4-8E11-7BF16289C574}"/>
    <cellStyle name="AggGreen 2 3 2 2" xfId="1265" xr:uid="{C9659972-CAC6-4415-BC7B-D9CBFFA0ABA4}"/>
    <cellStyle name="AggGreen 2 3 2 2 2" xfId="883" xr:uid="{3B60A69A-E79A-470C-ADEA-38A0A63DF5EA}"/>
    <cellStyle name="AggGreen 2 3 2 3" xfId="1051" xr:uid="{8FA51347-40B4-458F-B648-825E8525D42E}"/>
    <cellStyle name="AggGreen 2 3 2 4" xfId="1369" xr:uid="{35F436AE-B4FA-48D6-A4D5-4868FB3B5C1F}"/>
    <cellStyle name="AggGreen 2 3 3" xfId="659" xr:uid="{731D397A-8E85-4725-A0D8-09CE5D798B6A}"/>
    <cellStyle name="AggGreen 2 3 3 2" xfId="1334" xr:uid="{90888ED6-8126-4A37-840C-2DB80B722C67}"/>
    <cellStyle name="AggGreen 2 3 3 2 2" xfId="854" xr:uid="{5293FF3C-906C-416E-96A2-B011B1FFE2DC}"/>
    <cellStyle name="AggGreen 2 3 3 3" xfId="1120" xr:uid="{94C89E13-18A7-4878-9CC4-490AD67973B8}"/>
    <cellStyle name="AggGreen 2 3 3 4" xfId="889" xr:uid="{5E2FFBBE-052C-43C9-9B66-4BC27A2CCE0D}"/>
    <cellStyle name="AggGreen 2 3 4" xfId="655" xr:uid="{9E049FF0-80A3-4E6E-BCCA-D02B3AE37872}"/>
    <cellStyle name="AggGreen 2 3 4 2" xfId="1330" xr:uid="{C499C4C1-565B-4A65-8306-AD27BF926304}"/>
    <cellStyle name="AggGreen 2 3 4 2 2" xfId="724" xr:uid="{3F3FC8E3-20D0-439F-B51B-69AAA48219D3}"/>
    <cellStyle name="AggGreen 2 3 4 3" xfId="1116" xr:uid="{6A0B424E-6AE0-4AEE-9662-0023386192DC}"/>
    <cellStyle name="AggGreen 2 3 4 4" xfId="675" xr:uid="{E487020E-4D44-428A-AD40-47BC54DC693E}"/>
    <cellStyle name="AggGreen 2 3 5" xfId="813" xr:uid="{E2FC7E5B-C765-4CF3-819A-88E076213D05}"/>
    <cellStyle name="AggGreen 2 3 6" xfId="1356" xr:uid="{A3BDC150-6CA8-4A17-8B40-CEC332A62A5E}"/>
    <cellStyle name="AggGreen 3" xfId="392" xr:uid="{258475AD-7153-4824-8238-37280A882804}"/>
    <cellStyle name="AggGreen 3 2" xfId="519" xr:uid="{12E3037C-43FD-4B10-BD08-8C5A23CF8773}"/>
    <cellStyle name="AggGreen 3 2 2" xfId="1194" xr:uid="{0C23125E-3F11-432C-BF14-623333D44D60}"/>
    <cellStyle name="AggGreen 3 2 2 2" xfId="960" xr:uid="{15C9222E-BE98-4A84-B4E4-061D0C699196}"/>
    <cellStyle name="AggGreen 3 2 3" xfId="980" xr:uid="{14203242-54EF-4B97-90D7-5665A80F3511}"/>
    <cellStyle name="AggGreen 3 2 4" xfId="1530" xr:uid="{2A12580D-41B2-4A3C-9896-99E73587521F}"/>
    <cellStyle name="AggGreen 3 3" xfId="1159" xr:uid="{9391E6F4-B1D6-43E2-A7E8-C4F96A4580F9}"/>
    <cellStyle name="AggGreen 3 3 2" xfId="687" xr:uid="{C48B5203-C3BB-42D4-9063-CA9AE660B150}"/>
    <cellStyle name="AggGreen 4" xfId="250" xr:uid="{AA5B3809-9E01-4C40-9F07-C8E813B9B102}"/>
    <cellStyle name="AggGreen 4 2" xfId="589" xr:uid="{F7FCCEC9-6F40-4D54-B74B-E2DB34FF47C6}"/>
    <cellStyle name="AggGreen 4 2 2" xfId="1264" xr:uid="{B321A6EF-7BDB-405C-AA1E-B62653F1F6F0}"/>
    <cellStyle name="AggGreen 4 2 2 2" xfId="945" xr:uid="{B1B890BF-D1E6-420A-A5ED-0738BEEDB4F8}"/>
    <cellStyle name="AggGreen 4 2 3" xfId="1050" xr:uid="{438041E1-5F91-4005-8610-0B40CB9D054A}"/>
    <cellStyle name="AggGreen 4 2 4" xfId="1466" xr:uid="{887BEFB4-42FB-4E1A-ACC7-DD61914BA12C}"/>
    <cellStyle name="AggGreen 4 3" xfId="504" xr:uid="{DB503A37-F451-4FFF-AFCA-FA96778B439F}"/>
    <cellStyle name="AggGreen 4 3 2" xfId="1179" xr:uid="{6612587A-6F93-4004-828B-DFDD54099B3C}"/>
    <cellStyle name="AggGreen 4 3 2 2" xfId="1453" xr:uid="{7A7B46D4-4D5C-4451-8059-8C9976D25CE2}"/>
    <cellStyle name="AggGreen 4 3 3" xfId="965" xr:uid="{4810FF03-B563-409F-8DAB-5E2E48364BD0}"/>
    <cellStyle name="AggGreen 4 3 4" xfId="1496" xr:uid="{CA30FBEE-33DF-490F-82A5-C82618131A57}"/>
    <cellStyle name="AggGreen 4 4" xfId="622" xr:uid="{0D272119-0215-43AD-B29C-7A6A8272912D}"/>
    <cellStyle name="AggGreen 4 4 2" xfId="1297" xr:uid="{5CCDAFE7-D785-48D6-9784-2E72A6B23E73}"/>
    <cellStyle name="AggGreen 4 4 2 2" xfId="1519" xr:uid="{232789C0-3EC7-4534-907D-CB07C6CD53CC}"/>
    <cellStyle name="AggGreen 4 4 3" xfId="1083" xr:uid="{320E07E2-8FA4-4CAB-86D6-3D2DDF1D899C}"/>
    <cellStyle name="AggGreen 4 4 4" xfId="1406" xr:uid="{B87B46DB-4571-4EC4-8187-0527A23B6063}"/>
    <cellStyle name="AggGreen 4 5" xfId="812" xr:uid="{E803E91E-645F-4A6C-9419-00DEAB6D946A}"/>
    <cellStyle name="AggGreen 4 6" xfId="735" xr:uid="{132C96CC-F5EA-402A-BD51-813D47A099C7}"/>
    <cellStyle name="AggGreen 5" xfId="710" xr:uid="{8EFD0168-C1ED-4C8B-8AC8-1808CFD13B93}"/>
    <cellStyle name="AggGreen 5 2" xfId="1441" xr:uid="{BB71CDF4-209D-4ED4-9AE0-F8484D7EE66B}"/>
    <cellStyle name="AggGreen_Bbdr" xfId="26" xr:uid="{189545F4-7F3D-41BB-BAD1-47052D236E2B}"/>
    <cellStyle name="AggGreen12" xfId="23" xr:uid="{B14F40F4-7A98-4E4C-8585-F3D82DF68948}"/>
    <cellStyle name="AggGreen12 2" xfId="92" xr:uid="{4585873F-5439-48CD-B8FD-4E01C57D15E5}"/>
    <cellStyle name="AggGreen12 2 2" xfId="395" xr:uid="{33695039-6F0E-47DF-86C5-4A124EB07B30}"/>
    <cellStyle name="AggGreen12 2 2 2" xfId="588" xr:uid="{814A1837-CE6F-4153-AB7D-67C64DB2E3E0}"/>
    <cellStyle name="AggGreen12 2 2 2 2" xfId="1263" xr:uid="{D6603FDD-8C4B-4E95-9223-AD043DE61451}"/>
    <cellStyle name="AggGreen12 2 2 2 2 2" xfId="797" xr:uid="{94ACDE8A-0BB5-4E6A-AF5B-71CEE6D24477}"/>
    <cellStyle name="AggGreen12 2 2 2 3" xfId="1049" xr:uid="{11027130-F904-4384-A62E-7F0F6147D19D}"/>
    <cellStyle name="AggGreen12 2 2 2 4" xfId="905" xr:uid="{5EB21A05-FC0D-48FE-9405-F8F2D46C6ADA}"/>
    <cellStyle name="AggGreen12 2 2 3" xfId="1162" xr:uid="{FFA285EF-F12C-4D34-83E2-B1C527BE5E62}"/>
    <cellStyle name="AggGreen12 2 2 3 2" xfId="1416" xr:uid="{BD5D2156-7CD0-4967-83C8-C0510992C88D}"/>
    <cellStyle name="AggGreen12 2 3" xfId="253" xr:uid="{AD8A93DF-EECD-423F-810E-A8D6371D2D20}"/>
    <cellStyle name="AggGreen12 2 3 2" xfId="592" xr:uid="{936DBA32-35EE-4463-8285-6F4DAA996DC1}"/>
    <cellStyle name="AggGreen12 2 3 2 2" xfId="1267" xr:uid="{0EB028B6-CBB6-48C3-8C62-C5D5E639F191}"/>
    <cellStyle name="AggGreen12 2 3 2 2 2" xfId="759" xr:uid="{BE51979A-2A15-4E79-9824-FFDED56AD6B2}"/>
    <cellStyle name="AggGreen12 2 3 2 3" xfId="1053" xr:uid="{0103AABE-4B01-4C58-A5BB-0DE4E64387ED}"/>
    <cellStyle name="AggGreen12 2 3 2 4" xfId="840" xr:uid="{14BEEF5A-1B05-4BFB-90C3-199896A254EC}"/>
    <cellStyle name="AggGreen12 2 3 3" xfId="541" xr:uid="{F8BCF4E2-9914-454A-9ECE-6EC45684A4FE}"/>
    <cellStyle name="AggGreen12 2 3 3 2" xfId="1216" xr:uid="{0C47D9E4-6CE9-4CC4-90F5-A163242B9F4D}"/>
    <cellStyle name="AggGreen12 2 3 3 2 2" xfId="787" xr:uid="{F022646C-5894-434B-8A38-AE89E5A6B0A1}"/>
    <cellStyle name="AggGreen12 2 3 3 3" xfId="1002" xr:uid="{8115ECE0-2819-4F80-8A49-761C05B43BFD}"/>
    <cellStyle name="AggGreen12 2 3 3 4" xfId="674" xr:uid="{F637380C-8351-46A4-A8E6-A7675D02B34C}"/>
    <cellStyle name="AggGreen12 2 3 4" xfId="621" xr:uid="{4943B24F-CFA2-43C1-BA40-3A96C419EFE6}"/>
    <cellStyle name="AggGreen12 2 3 4 2" xfId="1296" xr:uid="{EACEF729-D4CB-4E9A-9C6A-D8AE616664F3}"/>
    <cellStyle name="AggGreen12 2 3 4 2 2" xfId="1419" xr:uid="{08D790FF-6C5D-41C8-B75F-BD87582B0D51}"/>
    <cellStyle name="AggGreen12 2 3 4 3" xfId="1082" xr:uid="{63BECB50-1CD4-4EB1-861A-4B2782D55E33}"/>
    <cellStyle name="AggGreen12 2 3 4 4" xfId="1508" xr:uid="{4B9BF127-CC0E-4758-BA70-721F27F4A1D9}"/>
    <cellStyle name="AggGreen12 2 3 5" xfId="815" xr:uid="{EBCF545C-6E37-4EEC-B744-1C8D2E50B61A}"/>
    <cellStyle name="AggGreen12 2 3 6" xfId="731" xr:uid="{13D26F16-FB32-493D-9DC2-105F87480BD7}"/>
    <cellStyle name="AggGreen12 3" xfId="394" xr:uid="{FAD6B122-B8FB-4750-8560-35AFCE4C9F94}"/>
    <cellStyle name="AggGreen12 3 2" xfId="518" xr:uid="{EA08D196-A817-4148-8E76-37806F21E87F}"/>
    <cellStyle name="AggGreen12 3 2 2" xfId="1193" xr:uid="{B01AC392-8F51-49B7-9952-476683D80772}"/>
    <cellStyle name="AggGreen12 3 2 2 2" xfId="701" xr:uid="{B26214DA-086C-4366-AFB6-22C9FE4AC4D6}"/>
    <cellStyle name="AggGreen12 3 2 3" xfId="979" xr:uid="{98D84AFA-5C48-4B12-A786-B46BF05CECA0}"/>
    <cellStyle name="AggGreen12 3 2 4" xfId="1437" xr:uid="{561D45D1-C6AC-4239-BBFE-8C3B209BAE42}"/>
    <cellStyle name="AggGreen12 3 3" xfId="1161" xr:uid="{7A229719-B6D9-421B-93EE-68DB174457AD}"/>
    <cellStyle name="AggGreen12 3 3 2" xfId="1518" xr:uid="{80E9DCD7-9E9A-4123-9F71-3054091B373A}"/>
    <cellStyle name="AggGreen12 4" xfId="252" xr:uid="{077F776C-B5C5-4162-9582-190B1AAF9566}"/>
    <cellStyle name="AggGreen12 4 2" xfId="591" xr:uid="{2DA0F234-84C2-474F-90EF-C7E957A63683}"/>
    <cellStyle name="AggGreen12 4 2 2" xfId="1266" xr:uid="{AD603277-FC1C-4022-8A31-8FBAF97A62DC}"/>
    <cellStyle name="AggGreen12 4 2 2 2" xfId="938" xr:uid="{1439CBE2-2271-4D96-843A-7229E9A4789A}"/>
    <cellStyle name="AggGreen12 4 2 3" xfId="1052" xr:uid="{2CE219E4-ECBD-44BD-9D15-775B76B927F2}"/>
    <cellStyle name="AggGreen12 4 2 4" xfId="1342" xr:uid="{2485F8E4-6E94-4056-9C10-A18A4057790E}"/>
    <cellStyle name="AggGreen12 4 3" xfId="643" xr:uid="{DC400724-2E24-46ED-8C96-7C2287B038FF}"/>
    <cellStyle name="AggGreen12 4 3 2" xfId="1318" xr:uid="{C979186F-8C06-4DFE-98AF-6E30D4304571}"/>
    <cellStyle name="AggGreen12 4 3 2 2" xfId="670" xr:uid="{C4696D88-D6A8-4809-B60B-899B61800187}"/>
    <cellStyle name="AggGreen12 4 3 3" xfId="1104" xr:uid="{F8F21331-FE61-4DB1-902B-C01496EDF963}"/>
    <cellStyle name="AggGreen12 4 3 4" xfId="900" xr:uid="{C1C477FA-383E-4FE8-B048-CBCDF9060A7A}"/>
    <cellStyle name="AggGreen12 4 4" xfId="654" xr:uid="{F93FEB6E-11D3-40F7-99CE-481ED93E3B0E}"/>
    <cellStyle name="AggGreen12 4 4 2" xfId="1329" xr:uid="{E6842228-046B-4798-8E2C-213AF197434F}"/>
    <cellStyle name="AggGreen12 4 4 2 2" xfId="749" xr:uid="{8EE09900-B6F6-45A6-BE89-578A16F0A44E}"/>
    <cellStyle name="AggGreen12 4 4 3" xfId="1115" xr:uid="{78C73F03-D4BC-461A-BC15-5B0C4D43C540}"/>
    <cellStyle name="AggGreen12 4 4 4" xfId="1404" xr:uid="{AA5E0B87-F140-4AAF-AD60-273F33397CE7}"/>
    <cellStyle name="AggGreen12 4 5" xfId="814" xr:uid="{9F58E31C-94A3-4A56-8139-EDD6780476AF}"/>
    <cellStyle name="AggGreen12 4 6" xfId="1359" xr:uid="{D1FD3F65-32CA-402B-8125-089A5D67E3E2}"/>
    <cellStyle name="AggGreen12 5" xfId="708" xr:uid="{C34B2E25-53C1-464A-8591-0238D3107DE2}"/>
    <cellStyle name="AggGreen12 5 2" xfId="1346" xr:uid="{44DBAA88-DE5D-4FFE-93C5-38F575AD81E8}"/>
    <cellStyle name="AggOrange" xfId="18" xr:uid="{D0412A7E-F6BA-48D8-A2B7-1204497783C4}"/>
    <cellStyle name="AggOrange 2" xfId="93" xr:uid="{7BC45C10-81B1-4545-A9B8-1BA12B9FB241}"/>
    <cellStyle name="AggOrange 2 2" xfId="397" xr:uid="{021BEADC-B0B5-492E-A233-44095B9A0541}"/>
    <cellStyle name="AggOrange 2 2 2" xfId="517" xr:uid="{5FDEF8E2-5A1B-44DB-AF05-A36F11A57069}"/>
    <cellStyle name="AggOrange 2 2 2 2" xfId="1192" xr:uid="{3EC29F73-EF2F-419F-B5B0-A3E8527778C8}"/>
    <cellStyle name="AggOrange 2 2 2 2 2" xfId="933" xr:uid="{9A3704E1-1441-4D0A-A684-31366388CD04}"/>
    <cellStyle name="AggOrange 2 2 2 3" xfId="978" xr:uid="{488DDB6B-1CDD-41C7-B480-DA8E9189B938}"/>
    <cellStyle name="AggOrange 2 2 2 4" xfId="1538" xr:uid="{7B5E3158-1E75-454A-B19E-936C168478CB}"/>
    <cellStyle name="AggOrange 2 2 3" xfId="1164" xr:uid="{A51E6F1A-B596-4610-9490-99622D2C44CD}"/>
    <cellStyle name="AggOrange 2 2 3 2" xfId="1368" xr:uid="{C07E127C-F6E2-4501-B4C1-6E1ECF33476D}"/>
    <cellStyle name="AggOrange 2 3" xfId="255" xr:uid="{B2E54583-8D98-43B9-B703-61DB25429615}"/>
    <cellStyle name="AggOrange 2 3 2" xfId="594" xr:uid="{1589548F-4BAE-470F-80FD-5E15B6C4417F}"/>
    <cellStyle name="AggOrange 2 3 2 2" xfId="1269" xr:uid="{BA315FB7-E584-43CC-AB77-1C4DB1292BEA}"/>
    <cellStyle name="AggOrange 2 3 2 2 2" xfId="798" xr:uid="{DAF43688-84B2-4E17-9257-26CAE3C4C690}"/>
    <cellStyle name="AggOrange 2 3 2 3" xfId="1055" xr:uid="{F6B5C4D7-3F5C-4BC1-87B5-1B0F88767793}"/>
    <cellStyle name="AggOrange 2 3 2 4" xfId="957" xr:uid="{5D340987-9234-4A28-A282-D24CAF437950}"/>
    <cellStyle name="AggOrange 2 3 3" xfId="501" xr:uid="{522D7643-CF2D-44BB-9D98-A536AE3C7738}"/>
    <cellStyle name="AggOrange 2 3 3 2" xfId="1176" xr:uid="{40402618-6E51-456D-8DF3-2E706DAA8512}"/>
    <cellStyle name="AggOrange 2 3 3 2 2" xfId="1504" xr:uid="{CBA1964C-41E7-48BC-8B8B-3E72A55E72D5}"/>
    <cellStyle name="AggOrange 2 3 3 3" xfId="962" xr:uid="{1A623DA8-AB27-4C09-9661-EF06256F8859}"/>
    <cellStyle name="AggOrange 2 3 3 4" xfId="1428" xr:uid="{C6DC6672-7E3A-4BD0-99EB-CAF89611B31F}"/>
    <cellStyle name="AggOrange 2 3 4" xfId="516" xr:uid="{0FF038D7-E5FC-48A4-B7D9-7CBE3CF2F8A1}"/>
    <cellStyle name="AggOrange 2 3 4 2" xfId="1191" xr:uid="{EA43456C-87D9-44C0-B789-C727CEAAAA85}"/>
    <cellStyle name="AggOrange 2 3 4 2 2" xfId="872" xr:uid="{B4B143F3-1032-422D-83BD-D5915607505A}"/>
    <cellStyle name="AggOrange 2 3 4 3" xfId="977" xr:uid="{95B6432D-4352-4503-ACFD-A8EDF748015E}"/>
    <cellStyle name="AggOrange 2 3 4 4" xfId="1439" xr:uid="{FC0D1E1A-8ABD-4A0C-9D85-9BEE6C3F24FB}"/>
    <cellStyle name="AggOrange 2 3 5" xfId="817" xr:uid="{380FEA42-38A9-43B9-BBB8-B0A0DC181638}"/>
    <cellStyle name="AggOrange 2 3 6" xfId="1358" xr:uid="{C6934359-4A34-4529-A1F3-3123489354BA}"/>
    <cellStyle name="AggOrange 3" xfId="396" xr:uid="{6A4BF3B9-F156-40EF-AE29-C20F5938F1FF}"/>
    <cellStyle name="AggOrange 3 2" xfId="636" xr:uid="{20A0852D-4728-4E6C-A86C-E9F49756DB1F}"/>
    <cellStyle name="AggOrange 3 2 2" xfId="1311" xr:uid="{95877F63-F887-44B9-B5C0-0A1C7D12ABC6}"/>
    <cellStyle name="AggOrange 3 2 2 2" xfId="878" xr:uid="{61A78239-5C2F-48D5-B142-DC571A02F567}"/>
    <cellStyle name="AggOrange 3 2 3" xfId="1097" xr:uid="{96BB83A0-11C4-439E-896F-76F5E99C0E6B}"/>
    <cellStyle name="AggOrange 3 2 4" xfId="1524" xr:uid="{C00B8D8D-20B4-4423-B0DB-13F3855B42F8}"/>
    <cellStyle name="AggOrange 3 3" xfId="1163" xr:uid="{A8749EC9-AF9C-4CED-9D8F-49E3A9E9775D}"/>
    <cellStyle name="AggOrange 3 3 2" xfId="1464" xr:uid="{2273D637-E93F-42CB-8674-17FB3BB76933}"/>
    <cellStyle name="AggOrange 4" xfId="254" xr:uid="{B69164B5-AE44-4406-83B5-18BDFA9C135C}"/>
    <cellStyle name="AggOrange 4 2" xfId="593" xr:uid="{D2F38FB8-3967-434B-ABFF-99AAA572AC49}"/>
    <cellStyle name="AggOrange 4 2 2" xfId="1268" xr:uid="{CCC5179E-862A-4214-82F3-BF8F6BED8D63}"/>
    <cellStyle name="AggOrange 4 2 2 2" xfId="844" xr:uid="{537D298B-6DCA-48C6-8748-42A23803C71C}"/>
    <cellStyle name="AggOrange 4 2 3" xfId="1054" xr:uid="{0BAFC871-DB0B-4ADB-9771-5851E7C40F09}"/>
    <cellStyle name="AggOrange 4 2 4" xfId="694" xr:uid="{C93E156F-3DC8-4027-96E0-A6CC9EF5E9BC}"/>
    <cellStyle name="AggOrange 4 3" xfId="582" xr:uid="{79DEE0D6-6A63-4CE7-9E10-8ED5DE59F901}"/>
    <cellStyle name="AggOrange 4 3 2" xfId="1257" xr:uid="{B1E2AB4A-7317-4D05-8A1E-2BF032326F58}"/>
    <cellStyle name="AggOrange 4 3 2 2" xfId="729" xr:uid="{9973C023-B54D-48B9-95BE-D0F778EEF779}"/>
    <cellStyle name="AggOrange 4 3 3" xfId="1043" xr:uid="{BE914B2A-415B-4ECD-8C1A-F5D3602F6BF4}"/>
    <cellStyle name="AggOrange 4 3 4" xfId="1488" xr:uid="{3D080086-1971-46E6-A15B-E89A3655D181}"/>
    <cellStyle name="AggOrange 4 4" xfId="556" xr:uid="{B6A7593F-463C-4A32-BEF7-B6A98AE7A520}"/>
    <cellStyle name="AggOrange 4 4 2" xfId="1231" xr:uid="{92DEEDFC-2100-4649-80CC-17E5B9DC80DD}"/>
    <cellStyle name="AggOrange 4 4 2 2" xfId="681" xr:uid="{AFE39A91-1D6F-4E59-B69C-70CE535B7017}"/>
    <cellStyle name="AggOrange 4 4 3" xfId="1017" xr:uid="{BD2DC4EF-5737-40E8-BC6A-BB58A926172F}"/>
    <cellStyle name="AggOrange 4 4 4" xfId="1374" xr:uid="{3FC40E00-9D65-4FEA-B34D-6260500E4FF2}"/>
    <cellStyle name="AggOrange 4 5" xfId="816" xr:uid="{732202B2-939C-4A3E-8F04-9BE94FAD4DB6}"/>
    <cellStyle name="AggOrange 4 6" xfId="1357" xr:uid="{8847AF8C-DA38-49F9-89EE-BEA783A22F25}"/>
    <cellStyle name="AggOrange 5" xfId="704" xr:uid="{B067A5AC-CC5C-401A-B51A-F9AEBBA786F1}"/>
    <cellStyle name="AggOrange 5 2" xfId="672" xr:uid="{6AD6FC4A-F384-4FC2-9EBF-A3FF0019F681}"/>
    <cellStyle name="AggOrange_B_border" xfId="30" xr:uid="{CBFFC0AA-E11F-4BC4-8B42-47645610DBF9}"/>
    <cellStyle name="AggOrange9" xfId="17" xr:uid="{D738B0C6-670E-4B34-84C1-15F58C58C1BD}"/>
    <cellStyle name="AggOrange9 2" xfId="94" xr:uid="{2CC03745-2896-418E-BD33-F3DECA523C9E}"/>
    <cellStyle name="AggOrange9 2 2" xfId="399" xr:uid="{737C8F9E-B052-467E-8854-6072C0911EB9}"/>
    <cellStyle name="AggOrange9 2 2 2" xfId="635" xr:uid="{3106FE25-8CB6-4105-B737-CAFEF1510B14}"/>
    <cellStyle name="AggOrange9 2 2 2 2" xfId="1310" xr:uid="{A0AAA9D6-4576-47A5-9C7B-B2E48ADF8325}"/>
    <cellStyle name="AggOrange9 2 2 2 2 2" xfId="885" xr:uid="{C940241B-11F6-4113-9B31-59BB665D5AB3}"/>
    <cellStyle name="AggOrange9 2 2 2 3" xfId="1096" xr:uid="{A5FE9C7C-E24C-488C-A62E-09C3CCB10DFD}"/>
    <cellStyle name="AggOrange9 2 2 2 4" xfId="1459" xr:uid="{5516B480-614F-48D3-9516-C58EDB70C6FA}"/>
    <cellStyle name="AggOrange9 2 2 3" xfId="1166" xr:uid="{33B8CD9A-E5C9-4F14-8FF3-C72FD6EF2372}"/>
    <cellStyle name="AggOrange9 2 2 3 2" xfId="1401" xr:uid="{761240DA-D380-4343-B21E-5E89BD2CB69B}"/>
    <cellStyle name="AggOrange9 2 3" xfId="257" xr:uid="{A3794598-D76B-45A2-9D52-DC1B1C588EC5}"/>
    <cellStyle name="AggOrange9 2 3 2" xfId="596" xr:uid="{A646288D-54CD-4C34-AED1-286BB21E0BF2}"/>
    <cellStyle name="AggOrange9 2 3 2 2" xfId="1271" xr:uid="{BE6AA360-9494-4DF1-8C4A-DFE4B42F5E75}"/>
    <cellStyle name="AggOrange9 2 3 2 2 2" xfId="884" xr:uid="{99EC8B9F-B118-4859-B2C6-C504A1E3AEAE}"/>
    <cellStyle name="AggOrange9 2 3 2 3" xfId="1057" xr:uid="{F3B79AD4-C0E8-4443-BDBA-2BC810CE2976}"/>
    <cellStyle name="AggOrange9 2 3 2 4" xfId="1490" xr:uid="{3FA966E6-270B-400B-8FFB-1A2873DCDAEE}"/>
    <cellStyle name="AggOrange9 2 3 3" xfId="642" xr:uid="{9E7EDBB9-243D-46B2-B3F8-62B920FC04C7}"/>
    <cellStyle name="AggOrange9 2 3 3 2" xfId="1317" xr:uid="{FFBF07AB-DA23-4637-8BBF-B85BDF7BE73F}"/>
    <cellStyle name="AggOrange9 2 3 3 2 2" xfId="954" xr:uid="{380F74A5-5E00-4120-84A6-9A83C153A376}"/>
    <cellStyle name="AggOrange9 2 3 3 3" xfId="1103" xr:uid="{BEE37648-4EB8-4588-AF8A-4C48F31487C6}"/>
    <cellStyle name="AggOrange9 2 3 3 4" xfId="839" xr:uid="{3BAE4157-55C0-4C36-827A-EB283F8AAA35}"/>
    <cellStyle name="AggOrange9 2 3 4" xfId="656" xr:uid="{83E94282-D55E-4A53-B7A7-4BCD47F07CD6}"/>
    <cellStyle name="AggOrange9 2 3 4 2" xfId="1331" xr:uid="{37AA8BE2-68E2-4B5D-932C-A77729BB1964}"/>
    <cellStyle name="AggOrange9 2 3 4 2 2" xfId="846" xr:uid="{2CDF718C-9EB9-448F-8B00-33B5693CA1FE}"/>
    <cellStyle name="AggOrange9 2 3 4 3" xfId="1117" xr:uid="{0E39DF5A-F798-434F-9C12-E3040BF22A77}"/>
    <cellStyle name="AggOrange9 2 3 4 4" xfId="1456" xr:uid="{8EB105B0-772F-442E-8A11-9A0B8E4E296A}"/>
    <cellStyle name="AggOrange9 2 3 5" xfId="819" xr:uid="{43E3B5DB-CA3A-4185-8FF4-7DE185B1DDB7}"/>
    <cellStyle name="AggOrange9 2 3 6" xfId="734" xr:uid="{F7989A3E-A52D-48B4-ADE6-B3339DED712E}"/>
    <cellStyle name="AggOrange9 3" xfId="398" xr:uid="{276A4F24-5B48-4D4F-8925-56B046BEB80B}"/>
    <cellStyle name="AggOrange9 3 2" xfId="587" xr:uid="{05F198EE-F387-40A6-8F12-2B07430B3C46}"/>
    <cellStyle name="AggOrange9 3 2 2" xfId="1262" xr:uid="{79025EC7-BB45-4107-BE4C-F3E67F1ECA9D}"/>
    <cellStyle name="AggOrange9 3 2 2 2" xfId="697" xr:uid="{CDADC121-841C-491A-8286-A41890C2DBF2}"/>
    <cellStyle name="AggOrange9 3 2 3" xfId="1048" xr:uid="{0CB34655-87FB-414C-9407-6BEC924A6887}"/>
    <cellStyle name="AggOrange9 3 2 4" xfId="1411" xr:uid="{58C2A8C5-38C8-4CCF-9FB1-827615EB2A4D}"/>
    <cellStyle name="AggOrange9 3 3" xfId="1165" xr:uid="{9E222D43-9113-4978-8F5A-9D2CDD2BD288}"/>
    <cellStyle name="AggOrange9 3 3 2" xfId="1503" xr:uid="{3856D2AC-BE20-4AC8-927E-97DA750C0CF6}"/>
    <cellStyle name="AggOrange9 4" xfId="256" xr:uid="{90D672E5-DAE0-4946-8C10-BCAB042444A7}"/>
    <cellStyle name="AggOrange9 4 2" xfId="595" xr:uid="{FEFC845C-E405-4C90-B451-1E6227046A04}"/>
    <cellStyle name="AggOrange9 4 2 2" xfId="1270" xr:uid="{BE23C4AF-22F0-407C-B0B0-F67E02419CCD}"/>
    <cellStyle name="AggOrange9 4 2 2 2" xfId="853" xr:uid="{6BE8F24E-D20B-4A55-A481-3D6C5EAC858C}"/>
    <cellStyle name="AggOrange9 4 2 3" xfId="1056" xr:uid="{DBB0544C-FB36-488B-92B9-418F27BDE1E9}"/>
    <cellStyle name="AggOrange9 4 2 4" xfId="1442" xr:uid="{AA1FE255-F462-4B8A-BF0E-1D4478E070F3}"/>
    <cellStyle name="AggOrange9 4 3" xfId="540" xr:uid="{21A31C1D-122C-450C-B2CC-A40DCA14EAB2}"/>
    <cellStyle name="AggOrange9 4 3 2" xfId="1215" xr:uid="{53AAD6F8-7982-4A64-842C-2327A8C273A2}"/>
    <cellStyle name="AggOrange9 4 3 2 2" xfId="917" xr:uid="{D8B48A5E-A57F-4CE5-BC42-C9E146321684}"/>
    <cellStyle name="AggOrange9 4 3 3" xfId="1001" xr:uid="{BC8A7F8A-97AC-4DC2-83D1-6894C6924B88}"/>
    <cellStyle name="AggOrange9 4 3 4" xfId="725" xr:uid="{AD5B4C59-12B3-403A-8745-CBC9A7943BAD}"/>
    <cellStyle name="AggOrange9 4 4" xfId="586" xr:uid="{FD8695F4-1093-4298-8EBE-8C91316E9335}"/>
    <cellStyle name="AggOrange9 4 4 2" xfId="1261" xr:uid="{9C3C092D-6E48-4428-B894-E65D36E02997}"/>
    <cellStyle name="AggOrange9 4 4 2 2" xfId="861" xr:uid="{1A715000-9A92-46CB-AC35-868368E90E80}"/>
    <cellStyle name="AggOrange9 4 4 3" xfId="1047" xr:uid="{9FA3BBE0-C813-430B-83BA-80A34574570D}"/>
    <cellStyle name="AggOrange9 4 4 4" xfId="1513" xr:uid="{FF121A5B-7DE0-4D40-A1DD-C6861ABF09C5}"/>
    <cellStyle name="AggOrange9 4 5" xfId="818" xr:uid="{C78C8C63-5987-477D-BFDF-CA4588BE467B}"/>
    <cellStyle name="AggOrange9 4 6" xfId="789" xr:uid="{AE353DDA-62D5-46F0-9FC8-DF31770ED798}"/>
    <cellStyle name="AggOrange9 5" xfId="703" xr:uid="{D6BAF60F-1868-4334-8DAC-AE8745974773}"/>
    <cellStyle name="AggOrange9 5 2" xfId="1414" xr:uid="{AB65662F-9F29-4BD4-8B33-22D1DCF6AC24}"/>
    <cellStyle name="AggOrangeLB_2x" xfId="29" xr:uid="{6724A7F4-6FC6-4725-A8ED-DCB0EA8D656E}"/>
    <cellStyle name="AggOrangeLBorder" xfId="31" xr:uid="{54DA39F4-46A9-405F-A6AC-8A6A534D03AF}"/>
    <cellStyle name="AggOrangeLBorder 2" xfId="95" xr:uid="{6736B805-711D-4237-A324-5BE113D3C22E}"/>
    <cellStyle name="AggOrangeLBorder 2 2" xfId="401" xr:uid="{3C925A20-E89A-44FB-9066-8800D5CDB05B}"/>
    <cellStyle name="AggOrangeLBorder 2 2 2" xfId="1544" xr:uid="{6DC18629-6C46-4E52-AFEA-EA9EBC0D8DD2}"/>
    <cellStyle name="AggOrangeLBorder 2 3" xfId="259" xr:uid="{313BA747-80D5-4376-97DE-0DFC80FF6AD3}"/>
    <cellStyle name="AggOrangeLBorder 2 3 2" xfId="598" xr:uid="{6157068B-334E-4339-9069-55829ED13BD7}"/>
    <cellStyle name="AggOrangeLBorder 2 3 2 2" xfId="1273" xr:uid="{885F577A-B7DD-4DB8-B4E1-3B8EE991E197}"/>
    <cellStyle name="AggOrangeLBorder 2 3 2 2 2" xfId="760" xr:uid="{7FB1B9AF-B1B3-4447-95CD-9067095195EA}"/>
    <cellStyle name="AggOrangeLBorder 2 3 2 3" xfId="1059" xr:uid="{CD2EB0E6-7239-4A74-BD08-2FE54CEF3305}"/>
    <cellStyle name="AggOrangeLBorder 2 3 2 4" xfId="1482" xr:uid="{6DD48ECF-1B12-4D39-BAD7-F7C31749B16E}"/>
    <cellStyle name="AggOrangeLBorder 2 3 3" xfId="538" xr:uid="{BAA46563-E42B-4D51-A117-6AF37804BABB}"/>
    <cellStyle name="AggOrangeLBorder 2 3 3 2" xfId="1213" xr:uid="{7FA4B933-AF3E-4CA3-BFB7-8EAC689179F8}"/>
    <cellStyle name="AggOrangeLBorder 2 3 3 2 2" xfId="728" xr:uid="{0F85D0B6-A202-4DB4-B15F-5E39075606F6}"/>
    <cellStyle name="AggOrangeLBorder 2 3 3 3" xfId="999" xr:uid="{E8E1C669-1BD2-4106-A2CD-8B9FF135FF52}"/>
    <cellStyle name="AggOrangeLBorder 2 3 3 4" xfId="715" xr:uid="{B489864A-E97E-4F9A-A658-6227032B1608}"/>
    <cellStyle name="AggOrangeLBorder 2 3 4" xfId="564" xr:uid="{086E4C24-FB54-4451-84B0-D5181C14B340}"/>
    <cellStyle name="AggOrangeLBorder 2 3 4 2" xfId="1239" xr:uid="{9089E3AA-7135-4880-9186-4A6D435B1826}"/>
    <cellStyle name="AggOrangeLBorder 2 3 4 2 2" xfId="942" xr:uid="{07996FC6-80BD-473E-B5A4-FBACD13B3473}"/>
    <cellStyle name="AggOrangeLBorder 2 3 4 3" xfId="1025" xr:uid="{59104549-6797-42BF-84EF-8632A7F118DE}"/>
    <cellStyle name="AggOrangeLBorder 2 3 4 4" xfId="916" xr:uid="{0E1A5FD7-E3A9-4060-804E-EAA062D0FD1E}"/>
    <cellStyle name="AggOrangeLBorder 2 3 5" xfId="1144" xr:uid="{FCF766F0-9AB2-4748-8BA0-CF53C791FA5F}"/>
    <cellStyle name="AggOrangeLBorder 2 3 5 2" xfId="1549" xr:uid="{4E41FC6C-60CA-43F0-8130-C727213D702D}"/>
    <cellStyle name="AggOrangeLBorder 2 3 6" xfId="821" xr:uid="{D2CBF88F-8CC6-4880-BF56-1738B5A63B8E}"/>
    <cellStyle name="AggOrangeLBorder 2 3 7" xfId="1347" xr:uid="{D35BE330-FC69-48F1-8921-AB1E2D70032E}"/>
    <cellStyle name="AggOrangeLBorder 3" xfId="400" xr:uid="{6F5EDC0C-E25B-4DD6-9AD1-02947B2598AA}"/>
    <cellStyle name="AggOrangeLBorder 3 2" xfId="1543" xr:uid="{37268857-D51F-4E93-8E94-2B02434DBFC4}"/>
    <cellStyle name="AggOrangeLBorder 4" xfId="258" xr:uid="{55A5E7B9-71B9-44F3-807D-195490F70551}"/>
    <cellStyle name="AggOrangeLBorder 4 2" xfId="597" xr:uid="{5970ACF5-DB29-49FB-969E-E1239277F7C6}"/>
    <cellStyle name="AggOrangeLBorder 4 2 2" xfId="1272" xr:uid="{48B056D1-B971-42C5-AE0E-9036D3F13184}"/>
    <cellStyle name="AggOrangeLBorder 4 2 2 2" xfId="866" xr:uid="{4FDEAE55-750A-40A5-8FD2-6AECBD354691}"/>
    <cellStyle name="AggOrangeLBorder 4 2 3" xfId="1058" xr:uid="{BB129E43-DAF1-4958-851E-66183E7ED9AE}"/>
    <cellStyle name="AggOrangeLBorder 4 2 4" xfId="1389" xr:uid="{BB0B4957-FDD6-4434-8C26-08BC7C1F485F}"/>
    <cellStyle name="AggOrangeLBorder 4 3" xfId="539" xr:uid="{6B4FC3D6-ABC1-4774-9092-A697DF5D1478}"/>
    <cellStyle name="AggOrangeLBorder 4 3 2" xfId="1214" xr:uid="{9B8D5A29-036E-4AC3-90B8-EC91EA553157}"/>
    <cellStyle name="AggOrangeLBorder 4 3 2 2" xfId="828" xr:uid="{D82FEE87-454F-49D7-BD16-99E3F7A1C0FB}"/>
    <cellStyle name="AggOrangeLBorder 4 3 3" xfId="1000" xr:uid="{CE30C9CB-7798-417B-A2E7-36D4D7F5D25D}"/>
    <cellStyle name="AggOrangeLBorder 4 3 4" xfId="855" xr:uid="{D6031036-1825-4E9C-90D7-9107BEFD84DA}"/>
    <cellStyle name="AggOrangeLBorder 4 4" xfId="560" xr:uid="{DF60ED5B-5038-483E-9B22-6CAC44FB31EF}"/>
    <cellStyle name="AggOrangeLBorder 4 4 2" xfId="1235" xr:uid="{E43AE7C2-3643-4ADC-977B-7EAA3EF27637}"/>
    <cellStyle name="AggOrangeLBorder 4 4 2 2" xfId="780" xr:uid="{AF94D8C0-4E7B-49D2-99CB-D9624096BADF}"/>
    <cellStyle name="AggOrangeLBorder 4 4 3" xfId="1021" xr:uid="{B066C57A-B285-4739-AFF5-FB8380D9E8B3}"/>
    <cellStyle name="AggOrangeLBorder 4 4 4" xfId="877" xr:uid="{0655AB5E-F15E-40AB-A590-1F7E4E27EAF8}"/>
    <cellStyle name="AggOrangeLBorder 4 5" xfId="1143" xr:uid="{BF13CD6B-A828-4054-A2E2-B0E544299B01}"/>
    <cellStyle name="AggOrangeLBorder 4 5 2" xfId="1548" xr:uid="{BDCE8E3E-CBF6-4465-8673-DD20EE8DEAEE}"/>
    <cellStyle name="AggOrangeLBorder 4 6" xfId="820" xr:uid="{C62F16A8-AA05-4256-B964-28C38057FB54}"/>
    <cellStyle name="AggOrangeLBorder 4 7" xfId="792" xr:uid="{FD132655-37E5-47E4-A199-4EC7CC08BABB}"/>
    <cellStyle name="AggOrangeLBorder 5" xfId="711" xr:uid="{13FC84B3-E944-446E-A58B-01892FD5CEC1}"/>
    <cellStyle name="AggOrangeLBorder 5 2" xfId="1547" xr:uid="{F4065743-2C49-4FA1-ABD4-E836E0610D1C}"/>
    <cellStyle name="AggOrangeRBorder" xfId="20" xr:uid="{E460E662-39E7-4496-A783-14BAC6DF76D9}"/>
    <cellStyle name="AggOrangeRBorder 2" xfId="96" xr:uid="{F7C1B51D-E979-4D0B-8096-5E675C391E36}"/>
    <cellStyle name="AggOrangeRBorder 2 2" xfId="403" xr:uid="{B98BD96C-73FB-4401-9ADF-9F4569677E75}"/>
    <cellStyle name="AggOrangeRBorder 2 2 2" xfId="515" xr:uid="{6E630522-2869-4572-89CE-1BB1C447C015}"/>
    <cellStyle name="AggOrangeRBorder 2 2 2 2" xfId="1190" xr:uid="{DC34CD19-B188-49CC-B724-FA0E6BF313ED}"/>
    <cellStyle name="AggOrangeRBorder 2 2 2 2 2" xfId="730" xr:uid="{1FE3737B-BFE6-4CE0-8467-1F1FA809C65C}"/>
    <cellStyle name="AggOrangeRBorder 2 2 2 3" xfId="976" xr:uid="{88C4162F-2837-4449-9517-46EDD67B821E}"/>
    <cellStyle name="AggOrangeRBorder 2 2 2 4" xfId="924" xr:uid="{968AFF1F-76BC-4B94-8032-3E0D2D617B7D}"/>
    <cellStyle name="AggOrangeRBorder 2 3" xfId="261" xr:uid="{17D660F6-A39E-4E7A-ABE1-42BDFC7DA4F4}"/>
    <cellStyle name="AggOrangeRBorder 2 3 2" xfId="600" xr:uid="{6A9D7748-5954-4E0C-BB24-1E347857FC2A}"/>
    <cellStyle name="AggOrangeRBorder 2 3 2 2" xfId="1275" xr:uid="{93F0D8F6-2438-4408-8CC4-76913077C188}"/>
    <cellStyle name="AggOrangeRBorder 2 3 2 2 2" xfId="913" xr:uid="{7933CD7A-1DF4-4991-B1C6-CEF466FEEB82}"/>
    <cellStyle name="AggOrangeRBorder 2 3 2 3" xfId="1061" xr:uid="{BFA66337-92A2-4F42-8EF6-CDD7ACC1AC0F}"/>
    <cellStyle name="AggOrangeRBorder 2 3 2 4" xfId="1510" xr:uid="{B00B2FE9-AFED-435A-A7C6-13B625D496FC}"/>
    <cellStyle name="AggOrangeRBorder 2 3 3" xfId="576" xr:uid="{EA049EC9-6F02-45F4-9164-5C54EAE1060B}"/>
    <cellStyle name="AggOrangeRBorder 2 3 3 2" xfId="1251" xr:uid="{946696EB-5EC2-47C4-9A25-8D0184A623AE}"/>
    <cellStyle name="AggOrangeRBorder 2 3 3 2 2" xfId="1536" xr:uid="{1FCA4CC5-3569-4F75-8FE3-BD02192665C0}"/>
    <cellStyle name="AggOrangeRBorder 2 3 3 3" xfId="1037" xr:uid="{0FD8C969-A569-40EC-BE2B-49AAFD8920A1}"/>
    <cellStyle name="AggOrangeRBorder 2 3 3 4" xfId="904" xr:uid="{07CEEEC6-EAF9-4503-BA96-0D92297DEB72}"/>
    <cellStyle name="AggOrangeRBorder 2 3 4" xfId="558" xr:uid="{00150383-F9A3-4249-A450-58121E0B498F}"/>
    <cellStyle name="AggOrangeRBorder 2 3 4 2" xfId="1233" xr:uid="{8B1F27FD-B3E0-45DD-9BB1-599446342976}"/>
    <cellStyle name="AggOrangeRBorder 2 3 4 2 2" xfId="940" xr:uid="{668E4CF0-DFFD-4651-8E3B-BAE3C9CA106E}"/>
    <cellStyle name="AggOrangeRBorder 2 3 4 3" xfId="1019" xr:uid="{4EB54E70-CDA3-490B-A0DB-D8378D775230}"/>
    <cellStyle name="AggOrangeRBorder 2 3 4 4" xfId="1424" xr:uid="{B3B03DC3-473B-45B9-9BFA-D26636898844}"/>
    <cellStyle name="AggOrangeRBorder 2 3 5" xfId="1146" xr:uid="{46F458E1-3205-4B1C-A828-D2C52B2D3279}"/>
    <cellStyle name="AggOrangeRBorder 2 3 6" xfId="823" xr:uid="{ACDA49D4-4F54-49F7-BEE3-0CF7D342B270}"/>
    <cellStyle name="AggOrangeRBorder 2 3 7" xfId="1343" xr:uid="{010258BC-459B-454B-B6A8-F97A91F7A4CB}"/>
    <cellStyle name="AggOrangeRBorder 3" xfId="402" xr:uid="{6BD920D5-1029-44BB-9AF8-0694277415FA}"/>
    <cellStyle name="AggOrangeRBorder 3 2" xfId="634" xr:uid="{8A2EB2A9-EFA6-4AB5-A872-C880DD69EEF0}"/>
    <cellStyle name="AggOrangeRBorder 3 2 2" xfId="1095" xr:uid="{955D107A-CF86-4264-B73C-7F53602FB2A7}"/>
    <cellStyle name="AggOrangeRBorder 3 2 2 2" xfId="907" xr:uid="{C1E0F544-771B-4424-8892-032446190877}"/>
    <cellStyle name="AggOrangeRBorder 3 2 3" xfId="1309" xr:uid="{90FDDE6B-2FF1-4247-B10A-D4F4A3788385}"/>
    <cellStyle name="AggOrangeRBorder 3 2 3 2" xfId="952" xr:uid="{5EA30683-4475-4D70-A1CD-BB236B58539E}"/>
    <cellStyle name="AggOrangeRBorder 4" xfId="260" xr:uid="{6DEBAF01-AEF5-4644-B9FD-5F0AA80DDF25}"/>
    <cellStyle name="AggOrangeRBorder 4 2" xfId="599" xr:uid="{8E9F2FCC-E173-4573-9901-CF9096555F24}"/>
    <cellStyle name="AggOrangeRBorder 4 2 2" xfId="1274" xr:uid="{80024CE4-6E25-4541-B223-924818D84CB6}"/>
    <cellStyle name="AggOrangeRBorder 4 2 2 2" xfId="948" xr:uid="{A85662EC-D972-4D1A-A562-726D5A345487}"/>
    <cellStyle name="AggOrangeRBorder 4 2 3" xfId="1060" xr:uid="{06BD8042-4D15-4033-B9D0-378F8D44E1B1}"/>
    <cellStyle name="AggOrangeRBorder 4 2 4" xfId="1383" xr:uid="{103C8DB9-0F2E-411D-9C87-45CDDA09B421}"/>
    <cellStyle name="AggOrangeRBorder 4 3" xfId="632" xr:uid="{47ED02F0-5416-4516-9D5B-BDCEB783AA7F}"/>
    <cellStyle name="AggOrangeRBorder 4 3 2" xfId="1307" xr:uid="{1DA688BA-4A38-4F66-94C6-8EFF809191F2}"/>
    <cellStyle name="AggOrangeRBorder 4 3 2 2" xfId="699" xr:uid="{D6F6B03F-1B6D-407C-899C-68330CDD3736}"/>
    <cellStyle name="AggOrangeRBorder 4 3 3" xfId="1093" xr:uid="{F3C01861-A920-483A-B492-CD1646CB07B8}"/>
    <cellStyle name="AggOrangeRBorder 4 3 4" xfId="1509" xr:uid="{CBCA60AC-DBA7-40A5-A66D-0145B07AD541}"/>
    <cellStyle name="AggOrangeRBorder 4 4" xfId="653" xr:uid="{769376FA-1588-41D6-BED6-A342FDF3E681}"/>
    <cellStyle name="AggOrangeRBorder 4 4 2" xfId="1328" xr:uid="{5066AF48-91EF-4955-B9ED-0F9552803671}"/>
    <cellStyle name="AggOrangeRBorder 4 4 2 2" xfId="841" xr:uid="{C86F1282-1DDE-40B9-B97C-6FE7B9A142F3}"/>
    <cellStyle name="AggOrangeRBorder 4 4 3" xfId="1114" xr:uid="{EE584CD4-118E-4AE2-914F-3D3A84CED52C}"/>
    <cellStyle name="AggOrangeRBorder 4 4 4" xfId="1506" xr:uid="{A7B7EE15-BAA1-4ADE-ACD1-4A6BD077AA1D}"/>
    <cellStyle name="AggOrangeRBorder 4 5" xfId="1145" xr:uid="{89E4FE8B-0990-4241-8335-89DC2669206C}"/>
    <cellStyle name="AggOrangeRBorder 4 6" xfId="822" xr:uid="{6C3F3B4D-F9F8-44E1-BE87-F7C169B80CF0}"/>
    <cellStyle name="AggOrangeRBorder 4 7" xfId="1355" xr:uid="{22FBABC7-95C6-4AEB-ACDB-6DE5C3ABE1A6}"/>
    <cellStyle name="AggOrangeRBorder 5" xfId="706" xr:uid="{C8B6736A-58B3-4B92-9093-F331CEE88343}"/>
    <cellStyle name="AggOrangeRBorder_CRFReport-template" xfId="32" xr:uid="{22A93133-AF4F-4706-A0EC-FD9F60E601BC}"/>
    <cellStyle name="Akzent1" xfId="97" xr:uid="{164A57D4-5DE2-47D0-A869-2872215EA1C2}"/>
    <cellStyle name="Akzent2" xfId="98" xr:uid="{71392027-56EE-4BA1-BC3E-3EAB91B2CCFB}"/>
    <cellStyle name="Akzent3" xfId="99" xr:uid="{AD8DA9F7-0995-464B-9314-379DD9BCCBB0}"/>
    <cellStyle name="Akzent4" xfId="100" xr:uid="{B0A3D4E5-5043-433A-9DFE-4542A64A268B}"/>
    <cellStyle name="Akzent5" xfId="101" xr:uid="{063F96DB-7EA1-48C3-8681-EC3BBEDCB26F}"/>
    <cellStyle name="Akzent6" xfId="102" xr:uid="{B9E27D07-9CB7-4B47-8E27-0B284FB0AFCA}"/>
    <cellStyle name="Ausgabe" xfId="103" xr:uid="{B951A78B-4E88-4462-AD10-F24ED59584B3}"/>
    <cellStyle name="Ausgabe 2" xfId="381" xr:uid="{ED29F4D6-BFFB-43FB-83B1-A7C5B2388F21}"/>
    <cellStyle name="Ausgabe 2 2" xfId="637" xr:uid="{B5A53009-FD91-419A-9ABD-48D24DFB95D5}"/>
    <cellStyle name="Ausgabe 2 2 2" xfId="1312" xr:uid="{075E0D3C-CD62-437D-B272-4E9E6F06CA5A}"/>
    <cellStyle name="Ausgabe 2 2 2 2" xfId="761" xr:uid="{9457EC52-3672-4D79-8B07-69570FDC1A09}"/>
    <cellStyle name="Ausgabe 2 2 3" xfId="1098" xr:uid="{8580D114-D92A-4BF7-B411-CE6ED0DE69FD}"/>
    <cellStyle name="Ausgabe 2 2 4" xfId="1422" xr:uid="{C76877DC-7678-4B25-96B3-817A043DD304}"/>
    <cellStyle name="Ausgabe 2 3" xfId="522" xr:uid="{B3E89BD0-F272-46F2-8A62-C539ECE34697}"/>
    <cellStyle name="Ausgabe 2 3 2" xfId="1197" xr:uid="{24EEF5DC-10C9-4A60-9273-BCC513A2D0BD}"/>
    <cellStyle name="Ausgabe 2 3 2 2" xfId="930" xr:uid="{7FBD9480-C2A5-4B65-86B1-4D936B9DBD83}"/>
    <cellStyle name="Ausgabe 2 3 3" xfId="983" xr:uid="{DC48B54C-B60A-4AA2-996C-F36A40A5D9C2}"/>
    <cellStyle name="Ausgabe 2 3 4" xfId="1379" xr:uid="{7ECFABE3-62B0-46AA-AA05-101F8044443B}"/>
    <cellStyle name="Ausgabe 2 4" xfId="1155" xr:uid="{2B5C3BCC-1CD1-4E8A-81FB-524ECF278D01}"/>
    <cellStyle name="Ausgabe 2 4 2" xfId="808" xr:uid="{E8139DED-94FB-4787-BDB6-E33DB54DD9BA}"/>
    <cellStyle name="Ausgabe 2 5" xfId="895" xr:uid="{D51BDFDE-E9E5-49F6-B0C6-C072C4F747EA}"/>
    <cellStyle name="Ausgabe 2 6" xfId="961" xr:uid="{C913A3A5-5B1D-4EA1-B4EC-761A9AA3B679}"/>
    <cellStyle name="Ausgabe 3" xfId="272" xr:uid="{05B65634-0D6C-4E65-AD91-62913C4A2E96}"/>
    <cellStyle name="Ausgabe 3 2" xfId="609" xr:uid="{6A898EA8-E487-4D12-99FC-341D0885D3EC}"/>
    <cellStyle name="Ausgabe 3 2 2" xfId="1284" xr:uid="{6D6F4B8E-7B73-446D-9F35-E28B16953448}"/>
    <cellStyle name="Ausgabe 3 2 2 2" xfId="742" xr:uid="{830E9CC7-E785-4088-BBD7-21F37E69402D}"/>
    <cellStyle name="Ausgabe 3 2 3" xfId="1070" xr:uid="{E02DFA4E-70BF-4B74-AEAB-CB08A1601838}"/>
    <cellStyle name="Ausgabe 3 2 4" xfId="1511" xr:uid="{C487B672-A592-4D11-B072-7E62D3186E28}"/>
    <cellStyle name="Ausgabe 3 3" xfId="528" xr:uid="{F3AE22E9-2333-43EE-85C1-018838A3DC56}"/>
    <cellStyle name="Ausgabe 3 3 2" xfId="1203" xr:uid="{6C45B569-B12F-4979-80C4-A590C3FA6EB8}"/>
    <cellStyle name="Ausgabe 3 3 2 2" xfId="935" xr:uid="{7BF895A4-1749-4311-8812-B57AF609EF84}"/>
    <cellStyle name="Ausgabe 3 3 3" xfId="989" xr:uid="{1B03232C-80D4-4AC1-BB80-580D0CF4C987}"/>
    <cellStyle name="Ausgabe 3 3 4" xfId="1514" xr:uid="{7409B404-23EE-43EC-9B88-C29EC38D3AA2}"/>
    <cellStyle name="Ausgabe 3 4" xfId="1152" xr:uid="{83E333B1-B189-4811-805F-09D5873F28AA}"/>
    <cellStyle name="Ausgabe 3 4 2" xfId="1455" xr:uid="{9D8DB7D7-1E6D-49C4-9119-CE76D991FAD7}"/>
    <cellStyle name="Ausgabe 3 5" xfId="834" xr:uid="{94B43994-FABF-4DC4-BD94-0CCA42D77A6E}"/>
    <cellStyle name="Ausgabe 3 6" xfId="1350" xr:uid="{959CD6A1-EF9F-4996-BC72-ED485A079798}"/>
    <cellStyle name="Ausgabe 4" xfId="533" xr:uid="{1FE33C16-B91A-4952-B3A5-EDB1EE14BBFE}"/>
    <cellStyle name="Ausgabe 4 2" xfId="1208" xr:uid="{6CADBF7D-0626-4A42-A898-F11B3C533C21}"/>
    <cellStyle name="Ausgabe 4 2 2" xfId="754" xr:uid="{AA52FA81-7778-4EF8-8B88-B9AB782279A8}"/>
    <cellStyle name="Ausgabe 4 3" xfId="994" xr:uid="{89E8BE11-8AD3-41F2-96B7-BD052520A5C1}"/>
    <cellStyle name="Ausgabe 4 4" xfId="1388" xr:uid="{C969AA11-734C-4262-A897-6D85DCCFE8BC}"/>
    <cellStyle name="Ausgabe 5" xfId="652" xr:uid="{683E15F3-96FA-4DA1-BDCF-C88419FCAD36}"/>
    <cellStyle name="Ausgabe 5 2" xfId="1327" xr:uid="{6E502201-933D-4E25-85D5-2D7EEE828E9F}"/>
    <cellStyle name="Ausgabe 5 2 2" xfId="902" xr:uid="{77B505D8-0EEC-425D-8C08-8297E1FEDFDB}"/>
    <cellStyle name="Ausgabe 5 3" xfId="1113" xr:uid="{40A305C7-6734-43DD-9520-A2900CF26B01}"/>
    <cellStyle name="Ausgabe 5 4" xfId="1398" xr:uid="{F47BF992-97A3-4178-AB87-05DA7507178C}"/>
    <cellStyle name="Ausgabe 6" xfId="1128" xr:uid="{9C8F32DE-08E5-4166-969D-563ED83B5914}"/>
    <cellStyle name="Ausgabe 6 2" xfId="1467" xr:uid="{E0133855-534C-4934-BDE2-209B722A6225}"/>
    <cellStyle name="Ausgabe 7" xfId="748" xr:uid="{C2188DD0-8478-476C-8CE4-77B35379A646}"/>
    <cellStyle name="Ausgabe 8" xfId="1493" xr:uid="{481712EB-0CF2-4AC1-B16C-1442650C3656}"/>
    <cellStyle name="Bad 2" xfId="104" xr:uid="{79DC4BB7-C3B0-4D49-A9E5-DBB82BD5FEA2}"/>
    <cellStyle name="Bad 3" xfId="213" xr:uid="{5AD291F9-3ECF-4012-85F9-9FD0F66AC7C1}"/>
    <cellStyle name="Bad 4" xfId="353" xr:uid="{A1E02CB2-B7FA-48E5-BFAD-D5F764122486}"/>
    <cellStyle name="Berechnung" xfId="105" xr:uid="{777ACC15-4EB8-4990-B708-47D2488E2500}"/>
    <cellStyle name="Berechnung 2" xfId="382" xr:uid="{872BF2BE-9833-4BF6-8935-6C58A877664E}"/>
    <cellStyle name="Berechnung 2 2" xfId="638" xr:uid="{C1FA8271-7A50-45C8-8EC8-F588339B5D47}"/>
    <cellStyle name="Berechnung 2 2 2" xfId="1313" xr:uid="{18C16623-42AD-4DFC-BC41-DE5DDB2C6410}"/>
    <cellStyle name="Berechnung 2 2 2 2" xfId="953" xr:uid="{35782881-4C39-4007-9E5C-37D935E2D2F7}"/>
    <cellStyle name="Berechnung 2 2 3" xfId="1099" xr:uid="{861503A8-528F-4C1C-ADA4-04FC2FFB14EF}"/>
    <cellStyle name="Berechnung 2 2 4" xfId="888" xr:uid="{2DED3408-6C6C-4311-A94A-792B85FC1633}"/>
    <cellStyle name="Berechnung 2 3" xfId="503" xr:uid="{D4C53E3A-9705-4DF2-A919-2CF96414E69C}"/>
    <cellStyle name="Berechnung 2 3 2" xfId="1178" xr:uid="{65A5DC57-2C27-4A83-95D8-32ECA94930EA}"/>
    <cellStyle name="Berechnung 2 3 2 2" xfId="908" xr:uid="{14D740F2-4144-4DC3-9FCE-F6E6EDA52D51}"/>
    <cellStyle name="Berechnung 2 3 3" xfId="964" xr:uid="{CC98F1D9-225A-45DE-8794-145B35FE1731}"/>
    <cellStyle name="Berechnung 2 3 4" xfId="1390" xr:uid="{1D26833A-6078-4939-83C7-5A0856BF6B68}"/>
    <cellStyle name="Berechnung 2 4" xfId="559" xr:uid="{EA34C7D8-5C2E-408C-86F6-EC14611F5EC5}"/>
    <cellStyle name="Berechnung 2 4 2" xfId="1234" xr:uid="{9DC357A4-B7F7-408B-AE44-D16A06C226B9}"/>
    <cellStyle name="Berechnung 2 4 2 2" xfId="740" xr:uid="{BE338D82-8173-4B8F-9272-0C0143902CA5}"/>
    <cellStyle name="Berechnung 2 4 3" xfId="1020" xr:uid="{0935D55B-DAA1-4321-9900-EF29F86D1BD0}"/>
    <cellStyle name="Berechnung 2 4 4" xfId="779" xr:uid="{BF12ED2A-0C72-4457-947C-DB430632FAF5}"/>
    <cellStyle name="Berechnung 2 5" xfId="1156" xr:uid="{FACACC76-8930-4D1E-98C4-AD319FF48782}"/>
    <cellStyle name="Berechnung 2 5 2" xfId="932" xr:uid="{3FEA1728-54EF-44D1-A269-CD2E0E6AFC6A}"/>
    <cellStyle name="Berechnung 2 6" xfId="896" xr:uid="{31CCF31A-5B5D-4D72-8FFA-0AA7AACE8EBE}"/>
    <cellStyle name="Berechnung 2 7" xfId="843" xr:uid="{4A6961C7-FFCC-47B2-98F9-5AFA84B1E155}"/>
    <cellStyle name="Berechnung 3" xfId="262" xr:uid="{951365BA-569C-441F-A8ED-0EBAD1DE5895}"/>
    <cellStyle name="Berechnung 3 2" xfId="601" xr:uid="{54FB8947-969C-41CA-8115-20A4B5E2F27E}"/>
    <cellStyle name="Berechnung 3 2 2" xfId="1276" xr:uid="{9EF4EADB-42F4-4C39-B065-49E40BA68D12}"/>
    <cellStyle name="Berechnung 3 2 2 2" xfId="719" xr:uid="{29308908-358B-4C5E-962D-2F6F28353E38}"/>
    <cellStyle name="Berechnung 3 2 3" xfId="1062" xr:uid="{7B89BB38-9F86-4B5F-85A5-EF710BCAF80E}"/>
    <cellStyle name="Berechnung 3 2 4" xfId="1408" xr:uid="{F6203098-FE49-4222-880A-0FA300B3AF06}"/>
    <cellStyle name="Berechnung 3 3" xfId="537" xr:uid="{AAEA3B40-64AD-4F02-BB7A-36762E9A96C2}"/>
    <cellStyle name="Berechnung 3 3 2" xfId="1212" xr:uid="{480EDE6F-45D2-42B6-AEE8-FCE34C51DC54}"/>
    <cellStyle name="Berechnung 3 3 2 2" xfId="936" xr:uid="{99125543-F10D-4EDE-A85B-E27D45C44A8C}"/>
    <cellStyle name="Berechnung 3 3 3" xfId="998" xr:uid="{E8204260-D5E3-40E8-97B6-116A75237DFD}"/>
    <cellStyle name="Berechnung 3 3 4" xfId="1425" xr:uid="{82D475BE-E29C-40AD-8F96-3C6BBC1E45F9}"/>
    <cellStyle name="Berechnung 3 4" xfId="549" xr:uid="{308BF8AB-6E8F-4194-B09B-C2547958DF09}"/>
    <cellStyle name="Berechnung 3 4 2" xfId="1224" xr:uid="{043FCC22-F6B6-424B-B07C-75564755D787}"/>
    <cellStyle name="Berechnung 3 4 2 2" xfId="847" xr:uid="{C7AC6139-3A3C-49DD-ACD6-2182CB175D79}"/>
    <cellStyle name="Berechnung 3 4 3" xfId="1010" xr:uid="{E289C085-CB46-460D-8033-A8F75B1B20EE}"/>
    <cellStyle name="Berechnung 3 4 4" xfId="1476" xr:uid="{F17097C7-87DD-4A2F-BA72-6337C736B36B}"/>
    <cellStyle name="Berechnung 3 5" xfId="1147" xr:uid="{E34DD025-14C1-4904-A35C-23F488F9BA24}"/>
    <cellStyle name="Berechnung 3 5 2" xfId="1484" xr:uid="{E517DBAE-7680-45A1-84ED-666B0ADDDE27}"/>
    <cellStyle name="Berechnung 3 6" xfId="824" xr:uid="{45AE92A9-847C-4690-8AA3-675A77A9B73E}"/>
    <cellStyle name="Berechnung 3 7" xfId="1354" xr:uid="{21FCFDC9-666C-4BD6-92C9-9EAC7CD9D1C1}"/>
    <cellStyle name="Berechnung 4" xfId="534" xr:uid="{D488E2AC-1182-429E-A397-0657679FCBC3}"/>
    <cellStyle name="Berechnung 4 2" xfId="1209" xr:uid="{379A9B65-E94E-42BB-8A16-1A47C9B0F9D0}"/>
    <cellStyle name="Berechnung 4 2 2" xfId="857" xr:uid="{1E83A59C-1A1C-4559-8099-6EBA7F54F6D0}"/>
    <cellStyle name="Berechnung 4 3" xfId="995" xr:uid="{E0100AA3-8656-4103-AF01-BC365FEF336B}"/>
    <cellStyle name="Berechnung 4 4" xfId="1463" xr:uid="{6A0B925B-FABE-4626-9DCA-E47F9F0C838D}"/>
    <cellStyle name="Berechnung 5" xfId="651" xr:uid="{81873125-A673-466F-8CEA-CD8834FB7019}"/>
    <cellStyle name="Berechnung 5 2" xfId="1326" xr:uid="{D524BBF2-4670-4FC0-B966-682FED14F610}"/>
    <cellStyle name="Berechnung 5 2 2" xfId="747" xr:uid="{B59A9812-871A-4B1A-B4DC-DAB3B550FBA0}"/>
    <cellStyle name="Berechnung 5 3" xfId="1112" xr:uid="{1EAB3FBB-3BFF-4C8C-8AF9-8EA920A2051B}"/>
    <cellStyle name="Berechnung 5 4" xfId="1499" xr:uid="{74E24DA1-0CD2-481E-990B-F8E95DFFF9AD}"/>
    <cellStyle name="Berechnung 6" xfId="663" xr:uid="{B8553E68-DC35-4412-98B1-7EF0B9A27BD9}"/>
    <cellStyle name="Berechnung 6 2" xfId="1337" xr:uid="{E16DC194-E3B6-47B0-90A5-9C798A1B1871}"/>
    <cellStyle name="Berechnung 6 2 2" xfId="870" xr:uid="{45AEE1BD-B900-468E-98ED-2B79B1F0D6B1}"/>
    <cellStyle name="Berechnung 6 3" xfId="1123" xr:uid="{7BEF79CE-821A-47E4-95E3-F0757E770798}"/>
    <cellStyle name="Berechnung 6 4" xfId="1366" xr:uid="{33D3F0A5-BF0A-484C-89CA-1E2BCF1F2FAE}"/>
    <cellStyle name="Berechnung 7" xfId="1129" xr:uid="{2D912330-6634-4CEA-BE22-CB51C5EC1CB0}"/>
    <cellStyle name="Berechnung 7 2" xfId="1371" xr:uid="{EE68CE98-02B9-4060-B4CF-A0EA78DF7BB3}"/>
    <cellStyle name="Berechnung 8" xfId="750" xr:uid="{CAE63FDA-B621-4AB5-B4FB-185EEC813118}"/>
    <cellStyle name="Berechnung 9" xfId="1345" xr:uid="{B575280C-8B52-4FE8-BC97-FE697E59E156}"/>
    <cellStyle name="Bold GHG Numbers (0.00)" xfId="106" xr:uid="{B5A5803E-9B4D-4649-BAC3-26A2C6D659AF}"/>
    <cellStyle name="Calculation 2" xfId="107" xr:uid="{D4B12DED-E6FF-42EE-8900-8D09D7428972}"/>
    <cellStyle name="Calculation 2 2" xfId="536" xr:uid="{C17CFF08-B349-4668-A449-3FF665C0DB73}"/>
    <cellStyle name="Calculation 2 2 2" xfId="1211" xr:uid="{6FE73D38-296F-48B4-8AE2-D734206CBB76}"/>
    <cellStyle name="Calculation 2 2 2 2" xfId="898" xr:uid="{3E9C760F-B238-4055-B7FA-9A7945BB8864}"/>
    <cellStyle name="Calculation 2 2 3" xfId="997" xr:uid="{601CE6E2-3AB8-4C7E-B10D-B70647D2C109}"/>
    <cellStyle name="Calculation 2 2 4" xfId="1527" xr:uid="{E6ED9484-470B-40A4-A003-5CB7696DDDF1}"/>
    <cellStyle name="Calculation 2 3" xfId="620" xr:uid="{9CA7694C-54F2-410D-9819-4391A1C1A67D}"/>
    <cellStyle name="Calculation 2 3 2" xfId="1295" xr:uid="{D4D05C30-7DDD-42C0-BB56-8ADEDBA2FC6A}"/>
    <cellStyle name="Calculation 2 3 2 2" xfId="1521" xr:uid="{9F7048E3-6575-4121-AC8A-FA3FD4E7FA58}"/>
    <cellStyle name="Calculation 2 3 3" xfId="1081" xr:uid="{7C05A7D8-242C-4662-A314-168B203ECA1D}"/>
    <cellStyle name="Calculation 2 3 4" xfId="1384" xr:uid="{072F06CC-A2D7-4D2C-853D-3B60188BA0E3}"/>
    <cellStyle name="Calculation 2 4" xfId="526" xr:uid="{5100FC22-5DEB-48E1-9605-32029D63D85C}"/>
    <cellStyle name="Calculation 2 4 2" xfId="1201" xr:uid="{08E887E6-51A4-4E03-B921-FE5D6A74E496}"/>
    <cellStyle name="Calculation 2 4 2 2" xfId="726" xr:uid="{E6BCADC6-3369-4821-8683-B6076276763E}"/>
    <cellStyle name="Calculation 2 4 3" xfId="987" xr:uid="{FF283F6A-0F8F-4628-B778-8335FF2E7612}"/>
    <cellStyle name="Calculation 2 4 4" xfId="1480" xr:uid="{C06C646B-D56E-4644-BC64-13811459FDE2}"/>
    <cellStyle name="Calculation 2 5" xfId="1130" xr:uid="{553F033E-256F-4577-9119-6BF2828629CB}"/>
    <cellStyle name="Calculation 2 5 2" xfId="713" xr:uid="{A95F7FB8-76CB-431B-9E8D-4743140512DB}"/>
    <cellStyle name="Calculation 2 6" xfId="751" xr:uid="{F575329A-C9CA-43B4-8A56-DF49ACB15819}"/>
    <cellStyle name="Calculation 2 7" xfId="1485" xr:uid="{6B09A007-0FEF-482F-ABA4-304462F52C47}"/>
    <cellStyle name="Calculation 3" xfId="214" xr:uid="{751C1B2A-5D8D-41F2-A02C-C5E147B02864}"/>
    <cellStyle name="Calculation 3 2" xfId="575" xr:uid="{ED57EC1D-7BFB-4069-AA90-6C4E8FEAA29A}"/>
    <cellStyle name="Calculation 3 2 2" xfId="1250" xr:uid="{32EC32C7-D111-413A-9864-741E8A3EECC2}"/>
    <cellStyle name="Calculation 3 2 2 2" xfId="1448" xr:uid="{8CCA5837-F565-4C01-B4F2-57D38009736A}"/>
    <cellStyle name="Calculation 3 2 3" xfId="1036" xr:uid="{4E9F25E0-8043-4FDE-ABE1-51AB609D949D}"/>
    <cellStyle name="Calculation 3 2 4" xfId="1410" xr:uid="{3DC5E6CA-FF75-4518-9F1D-E7E26B6DCDBD}"/>
    <cellStyle name="Calculation 3 3" xfId="561" xr:uid="{B478B25E-08E7-4104-A1FD-A3D9B472F067}"/>
    <cellStyle name="Calculation 3 3 2" xfId="1236" xr:uid="{3FCC2D34-C147-48CD-94D1-4087D28EBA6B}"/>
    <cellStyle name="Calculation 3 3 2 2" xfId="862" xr:uid="{BEE2EB63-7F3E-4F36-B7E4-01B90C667947}"/>
    <cellStyle name="Calculation 3 3 3" xfId="1022" xr:uid="{06384289-6F98-49AE-8AC1-8685FFAA0A78}"/>
    <cellStyle name="Calculation 3 3 4" xfId="922" xr:uid="{D5CCB2FD-FBD9-4FC2-86A2-2074935FD8BC}"/>
    <cellStyle name="Calculation 3 4" xfId="645" xr:uid="{B1282B97-DE62-4158-AAB6-0662D6403193}"/>
    <cellStyle name="Calculation 3 4 2" xfId="1320" xr:uid="{079134B4-B47D-4DAB-86CA-37AC1564AC76}"/>
    <cellStyle name="Calculation 3 4 2 2" xfId="745" xr:uid="{F3B63529-2CCB-4A9D-88A5-F4D0AA5FB169}"/>
    <cellStyle name="Calculation 3 4 3" xfId="1106" xr:uid="{2941C331-FABC-4B5E-82BE-C0182477028D}"/>
    <cellStyle name="Calculation 3 4 4" xfId="774" xr:uid="{36012574-6BE0-4DA5-A6D7-1E3F52B1A395}"/>
    <cellStyle name="Calculation 3 5" xfId="1138" xr:uid="{F6D41088-4815-4213-9032-3F6D454FD5B8}"/>
    <cellStyle name="Calculation 3 5 2" xfId="1505" xr:uid="{C17CE6FA-B16D-4C74-AF7C-5C5765DE215B}"/>
    <cellStyle name="Calculation 3 6" xfId="794" xr:uid="{5FFCFF17-A077-4FE5-AABB-94B206A61F1B}"/>
    <cellStyle name="Calculation 3 7" xfId="1362" xr:uid="{77433E7D-00D2-43B4-88C4-DFD5D0F4E95A}"/>
    <cellStyle name="Check Cell 2" xfId="108" xr:uid="{696872A0-A22E-4794-8645-B6DF45153038}"/>
    <cellStyle name="Check Cell 3" xfId="215" xr:uid="{FA07AC56-AA6D-4A0B-BE60-8AE901DAF225}"/>
    <cellStyle name="Check Cell 4" xfId="359" xr:uid="{3527C5D7-6C1B-41AC-89B6-A434FB199FCB}"/>
    <cellStyle name="Comma 2" xfId="109" xr:uid="{9CF08CEE-4BB3-4BE4-BAC0-1B55060D3E78}"/>
    <cellStyle name="Comma 2 2" xfId="110" xr:uid="{440B2E26-257F-45BC-9D54-9FBC97B90B3A}"/>
    <cellStyle name="Comma 2 2 2" xfId="404" xr:uid="{E1C3D052-3128-4EA6-8215-AA264DA1DE49}"/>
    <cellStyle name="Comma 3" xfId="111" xr:uid="{E360CC5B-B331-487F-9D04-1EAA83D2BA8D}"/>
    <cellStyle name="Constants" xfId="5" xr:uid="{AFFCBB88-7B04-4CCC-BE67-86FE45CB1349}"/>
    <cellStyle name="ContentsHyperlink" xfId="231" xr:uid="{25E146E8-C0C0-4B2A-AC9B-5E67EFD1BA69}"/>
    <cellStyle name="Currency" xfId="1557" builtinId="4"/>
    <cellStyle name="CustomCellsOrange" xfId="112" xr:uid="{E3552F88-613A-477F-BD16-02D0E05F2C69}"/>
    <cellStyle name="CustomCellsOrange 2" xfId="405" xr:uid="{D31F82F4-B6C2-4BF4-A25D-E4AFE01C1AAE}"/>
    <cellStyle name="CustomCellsOrange 2 2" xfId="428" xr:uid="{789E92C4-05A5-4F8B-970C-0B4B73F1DE10}"/>
    <cellStyle name="CustomCellsOrange 2 2 2" xfId="498" xr:uid="{6D411069-470B-47D6-93B8-D85D3145BC9B}"/>
    <cellStyle name="CustomCellsOrange 2 2 2 2" xfId="664" xr:uid="{1A19A97B-9D2F-4DB9-A865-79FE4E42B00E}"/>
    <cellStyle name="CustomCellsOrange 2 2 2 2 2" xfId="1338" xr:uid="{60CC86EE-76B6-49C8-934F-41D8DC81E58B}"/>
    <cellStyle name="CustomCellsOrange 2 2 2 2 2 2" xfId="769" xr:uid="{809F91BE-5B54-4B83-95F3-2796D21C9A57}"/>
    <cellStyle name="CustomCellsOrange 2 2 2 2 3" xfId="1124" xr:uid="{402A9184-6A79-4F33-94CB-B5825BBE5CB6}"/>
    <cellStyle name="CustomCellsOrange 2 2 2 2 4" xfId="1507" xr:uid="{A36C5C7B-D694-4E14-8086-C04623EAC74C}"/>
    <cellStyle name="CustomCellsOrange 2 2 3" xfId="647" xr:uid="{6F8C80B1-3184-4C00-A2E4-A13DE29B768A}"/>
    <cellStyle name="CustomCellsOrange 2 2 3 2" xfId="1322" xr:uid="{0CC8D6C0-9109-437C-8EC5-B9EEA32F076B}"/>
    <cellStyle name="CustomCellsOrange 2 2 3 2 2" xfId="955" xr:uid="{10404193-31A1-456D-82D4-E1EFB9BD842B}"/>
    <cellStyle name="CustomCellsOrange 2 2 3 3" xfId="1108" xr:uid="{784A965B-F8AB-4C99-8A85-349B6F2D02EB}"/>
    <cellStyle name="CustomCellsOrange 2 2 3 4" xfId="775" xr:uid="{B623F935-E324-47FB-8A23-D1AA68122372}"/>
    <cellStyle name="CustomCellsOrange 2 2 4" xfId="565" xr:uid="{6F518ABB-EFCC-43A4-A0EB-CA696AF81D22}"/>
    <cellStyle name="CustomCellsOrange 2 2 4 2" xfId="1240" xr:uid="{B1314DB5-5291-4BA3-ADDE-444FD973603F}"/>
    <cellStyle name="CustomCellsOrange 2 2 4 2 2" xfId="910" xr:uid="{5D01E99E-1320-46D3-AF1E-AB4411825C52}"/>
    <cellStyle name="CustomCellsOrange 2 2 4 3" xfId="1026" xr:uid="{D9D36DD2-734B-42ED-9432-134DBDBA3454}"/>
    <cellStyle name="CustomCellsOrange 2 2 4 4" xfId="928" xr:uid="{EB3121AF-48B0-4D7A-B883-94795D790997}"/>
    <cellStyle name="CustomCellsOrange 2 2 5" xfId="666" xr:uid="{9D4D004C-38BA-4D62-9C13-4908D0E31C1A}"/>
    <cellStyle name="CustomCellsOrange 2 2 5 2" xfId="1340" xr:uid="{9EB95560-22DF-444C-BF44-23595E5C460D}"/>
    <cellStyle name="CustomCellsOrange 2 2 5 2 2" xfId="1539" xr:uid="{FAE588EB-42D4-43C1-8E65-470A39E4643E}"/>
    <cellStyle name="CustomCellsOrange 2 2 5 3" xfId="1126" xr:uid="{56E19AC0-D389-4340-82D7-96611F240FEA}"/>
    <cellStyle name="CustomCellsOrange 2 2 5 4" xfId="680" xr:uid="{BD343ED8-9CAB-4351-874B-C45169E26FE2}"/>
    <cellStyle name="CustomCellsOrange 2 2 6" xfId="919" xr:uid="{25B0DE90-B8E5-46F9-AFE5-213FDAE99D50}"/>
    <cellStyle name="CustomCellsOrange 2 2 7" xfId="1460" xr:uid="{FFCC83EB-81B1-48B3-8950-B1CE53BD385E}"/>
    <cellStyle name="CustomCellsOrange 3" xfId="263" xr:uid="{8C48CBDD-BD7B-44E4-B473-2BB6921E152D}"/>
    <cellStyle name="CustomCellsOrange 3 2" xfId="602" xr:uid="{799388F5-CDE8-42B7-AFE3-D70790C85AD3}"/>
    <cellStyle name="CustomCellsOrange 3 2 2" xfId="1277" xr:uid="{A0F902AF-05AE-4C89-B2CA-D5093D117449}"/>
    <cellStyle name="CustomCellsOrange 3 2 2 2" xfId="947" xr:uid="{A7BE5FA4-68BE-4FE4-89AC-7DFD8C64D8F5}"/>
    <cellStyle name="CustomCellsOrange 3 2 3" xfId="1063" xr:uid="{846F0720-70F3-4DB7-A51D-77A1923126BB}"/>
    <cellStyle name="CustomCellsOrange 3 2 4" xfId="738" xr:uid="{39E4AAAC-CA66-48EF-A5C9-37100B4AA2CA}"/>
    <cellStyle name="CustomCellsOrange 3 3" xfId="535" xr:uid="{71C7EA03-3C45-495F-BD6F-36A51A74DFB5}"/>
    <cellStyle name="CustomCellsOrange 3 3 2" xfId="1210" xr:uid="{F1DF37ED-536D-4992-9F70-5C4DA85F5BAD}"/>
    <cellStyle name="CustomCellsOrange 3 3 2 2" xfId="786" xr:uid="{43F55B25-531A-4936-A2C6-A266452293EB}"/>
    <cellStyle name="CustomCellsOrange 3 3 3" xfId="996" xr:uid="{F9C68A4F-6F2D-4961-B126-607301B1AC6A}"/>
    <cellStyle name="CustomCellsOrange 3 3 4" xfId="1367" xr:uid="{6C51496B-6B62-4733-AF50-329700983522}"/>
    <cellStyle name="CustomCellsOrange 3 4" xfId="548" xr:uid="{F105FEB4-898F-4978-A946-F0407C28B188}"/>
    <cellStyle name="CustomCellsOrange 3 4 2" xfId="1223" xr:uid="{FD3CAE43-5180-4D88-A9F6-BFDFC6B27441}"/>
    <cellStyle name="CustomCellsOrange 3 4 2 2" xfId="796" xr:uid="{B381B37B-0ED4-498A-983E-39F96D7E6BCE}"/>
    <cellStyle name="CustomCellsOrange 3 4 3" xfId="1009" xr:uid="{29CA80DC-F61C-4408-9143-C63A3B4AF634}"/>
    <cellStyle name="CustomCellsOrange 3 4 4" xfId="1447" xr:uid="{F4F8773B-368F-4A6E-AACB-8EC74001D9B9}"/>
    <cellStyle name="CustomCellsOrange 3 5" xfId="1148" xr:uid="{1E02630A-2A2B-4477-9BDD-D761995FA3DF}"/>
    <cellStyle name="CustomCellsOrange 3 5 2" xfId="1550" xr:uid="{F6F06552-17CF-4453-828E-EB035924A78E}"/>
    <cellStyle name="CustomCellsOrange 3 6" xfId="825" xr:uid="{D3B55D44-1714-437B-961E-52AFD95134D7}"/>
    <cellStyle name="CustomCellsOrange 3 7" xfId="733" xr:uid="{41BD1169-3006-4A61-AF3F-A1557EC5F9B2}"/>
    <cellStyle name="CustomizationCells" xfId="19" xr:uid="{B952EC2F-ECC0-4357-B6B2-E629DCD33E1A}"/>
    <cellStyle name="CustomizationCells 2" xfId="406" xr:uid="{40DE0FA1-F2C5-4501-8FF5-B3E46DAD3377}"/>
    <cellStyle name="CustomizationCells 2 2" xfId="429" xr:uid="{61A68E5F-5516-49C8-A5B7-623DE5160F86}"/>
    <cellStyle name="CustomizationCells 2 2 2" xfId="499" xr:uid="{BED5E3CC-4C05-4504-8807-4B29E89028BE}"/>
    <cellStyle name="CustomizationCells 2 2 2 2" xfId="665" xr:uid="{679FB5A6-058F-4D3B-A03B-974A0A346826}"/>
    <cellStyle name="CustomizationCells 2 2 2 2 2" xfId="1339" xr:uid="{D1454227-9146-4F6D-8CE5-45C86BF44A54}"/>
    <cellStyle name="CustomizationCells 2 2 2 2 2 2" xfId="918" xr:uid="{BE34F72B-61A5-4B70-B685-8B37F15293B9}"/>
    <cellStyle name="CustomizationCells 2 2 2 2 3" xfId="1125" xr:uid="{228CD4EF-9DD6-429F-A741-22AD0917BF44}"/>
    <cellStyle name="CustomizationCells 2 2 2 2 4" xfId="1405" xr:uid="{4AD0B4D3-89EA-4ED9-8B91-68D09B8204B8}"/>
    <cellStyle name="CustomizationCells 2 2 3" xfId="648" xr:uid="{97747261-3FCD-4D93-9A75-5003B5FA48CD}"/>
    <cellStyle name="CustomizationCells 2 2 3 2" xfId="1323" xr:uid="{EEE35E91-F1D4-431B-8AD3-F57CF4FA13F5}"/>
    <cellStyle name="CustomizationCells 2 2 3 2 2" xfId="746" xr:uid="{464F1942-E014-4975-892E-A9366D9D080B}"/>
    <cellStyle name="CustomizationCells 2 2 3 3" xfId="1109" xr:uid="{AE6B24AA-8CDE-40CE-9E10-CB06DEC5DC41}"/>
    <cellStyle name="CustomizationCells 2 2 3 4" xfId="958" xr:uid="{A45A3990-904B-42D5-B236-EAA41C9C1C09}"/>
    <cellStyle name="CustomizationCells 2 2 4" xfId="511" xr:uid="{520BD014-972B-4817-B4BE-E61110B98B29}"/>
    <cellStyle name="CustomizationCells 2 2 4 2" xfId="1186" xr:uid="{DBF42978-738B-4242-B593-5BEADA8448DF}"/>
    <cellStyle name="CustomizationCells 2 2 4 2 2" xfId="673" xr:uid="{825824F4-2EF8-4090-905D-20BCEDFD2005}"/>
    <cellStyle name="CustomizationCells 2 2 4 3" xfId="972" xr:uid="{F9B37554-DB4E-493F-B876-354A6587A6BD}"/>
    <cellStyle name="CustomizationCells 2 2 4 4" xfId="1415" xr:uid="{373F35A9-0ACE-40F2-A0E5-96B3866A7DE3}"/>
    <cellStyle name="CustomizationCells 2 2 5" xfId="667" xr:uid="{83445A6E-F567-472A-BF6B-DAAFD5263A4E}"/>
    <cellStyle name="CustomizationCells 2 2 5 2" xfId="1341" xr:uid="{4A4D5D21-AB5B-4A2F-B6C6-CDBC6C955BED}"/>
    <cellStyle name="CustomizationCells 2 2 5 2 2" xfId="1540" xr:uid="{34871D86-96F3-4989-853F-CD86B3A1C0CB}"/>
    <cellStyle name="CustomizationCells 2 2 5 3" xfId="1127" xr:uid="{01F8E3EC-85C4-4651-AFF2-39D39F90CDD4}"/>
    <cellStyle name="CustomizationCells 2 2 5 4" xfId="1457" xr:uid="{1A9BBC6C-D3D2-4017-AEB7-CB4AFA37DDDE}"/>
    <cellStyle name="CustomizationCells 2 2 6" xfId="920" xr:uid="{CD17CB45-A3FC-430D-BC29-EF4169E11324}"/>
    <cellStyle name="CustomizationCells 2 2 7" xfId="1473" xr:uid="{BD3EAC02-95C5-4488-9483-8A62599D7628}"/>
    <cellStyle name="CustomizationCells 3" xfId="264" xr:uid="{773E9BAD-C969-4A5F-A921-7F0237EFD566}"/>
    <cellStyle name="CustomizationCells 3 2" xfId="603" xr:uid="{BB55B9F2-6E71-498D-96DB-71C6E1250872}"/>
    <cellStyle name="CustomizationCells 3 2 2" xfId="1278" xr:uid="{4FAE77DA-B651-4046-A8B2-D27DAFC97839}"/>
    <cellStyle name="CustomizationCells 3 2 2 2" xfId="912" xr:uid="{A8EB37A5-FADC-4F75-B1EC-3D368C4AD9BC}"/>
    <cellStyle name="CustomizationCells 3 2 3" xfId="1064" xr:uid="{0E1891EE-249D-417E-A366-33555F06DB8A}"/>
    <cellStyle name="CustomizationCells 3 2 4" xfId="712" xr:uid="{9CA3958B-BAA7-4C3D-8CC8-8EB3E984696B}"/>
    <cellStyle name="CustomizationCells 3 3" xfId="630" xr:uid="{152A816C-92EE-48A4-BBCF-1421FF688183}"/>
    <cellStyle name="CustomizationCells 3 3 2" xfId="1305" xr:uid="{C9C724DE-ADC6-42D6-ABDD-593861CA0C7C}"/>
    <cellStyle name="CustomizationCells 3 3 2 2" xfId="950" xr:uid="{07B79CB4-5CF0-4D1B-A6E1-607D34E6A814}"/>
    <cellStyle name="CustomizationCells 3 3 3" xfId="1091" xr:uid="{40C68F20-EDF4-4FC4-926A-21AAA1A3BDE2}"/>
    <cellStyle name="CustomizationCells 3 3 4" xfId="1528" xr:uid="{A5487C7B-2F2A-4457-AE4D-B6436C14F47D}"/>
    <cellStyle name="CustomizationCells 3 4" xfId="550" xr:uid="{CB70E258-9B84-4D34-A66D-8321AEAC9452}"/>
    <cellStyle name="CustomizationCells 3 4 2" xfId="1225" xr:uid="{C461FE0E-9553-4F06-8B87-03AD962C3E2F}"/>
    <cellStyle name="CustomizationCells 3 4 2 2" xfId="876" xr:uid="{D44D9856-5021-44F8-897E-F93097A1DF89}"/>
    <cellStyle name="CustomizationCells 3 4 3" xfId="1011" xr:uid="{16724DB5-EF61-43C9-9EE0-B90A8FFBBC07}"/>
    <cellStyle name="CustomizationCells 3 4 4" xfId="1377" xr:uid="{793FA148-998F-451C-9E75-4F8A73C9765F}"/>
    <cellStyle name="CustomizationCells 3 5" xfId="1149" xr:uid="{386527C2-708E-47E1-A24C-53ED7BB2C509}"/>
    <cellStyle name="CustomizationCells 3 5 2" xfId="1551" xr:uid="{14956E1A-A4A0-4854-86AD-8258FDBEA764}"/>
    <cellStyle name="CustomizationCells 3 6" xfId="826" xr:uid="{01E83C8D-9396-43D0-A081-7DFEDE72AE17}"/>
    <cellStyle name="CustomizationCells 3 7" xfId="1352" xr:uid="{3AB51F15-286A-4D0B-99CE-59E5F4AB7810}"/>
    <cellStyle name="CustomizationCells 4" xfId="705" xr:uid="{A879FC90-C130-4DAB-98C2-72168BD6670E}"/>
    <cellStyle name="CustomizationCells 4 2" xfId="1546" xr:uid="{9B3D5BB5-09B2-4609-A572-73E980AEAF59}"/>
    <cellStyle name="CustomizationGreenCells" xfId="113" xr:uid="{2485BFAD-5465-475F-ADBC-F47381E25287}"/>
    <cellStyle name="CustomizationGreenCells 2" xfId="407" xr:uid="{0BD3303C-E776-41EC-974D-F542EA439571}"/>
    <cellStyle name="CustomizationGreenCells 2 2" xfId="1545" xr:uid="{3D24633F-D41D-4FD6-AC08-919518F6A3CD}"/>
    <cellStyle name="CustomizationGreenCells 3" xfId="265" xr:uid="{093A090F-9B78-4976-818A-743DE8F778B0}"/>
    <cellStyle name="CustomizationGreenCells 3 2" xfId="604" xr:uid="{B2CAA266-0FBC-41FE-91EB-ACCCA6D37D1F}"/>
    <cellStyle name="CustomizationGreenCells 3 2 2" xfId="1279" xr:uid="{D5AF402A-832A-4EA4-9BA5-27953A7D205B}"/>
    <cellStyle name="CustomizationGreenCells 3 2 2 2" xfId="783" xr:uid="{8C6AD996-2720-4B1E-9E85-F82E68B19DF4}"/>
    <cellStyle name="CustomizationGreenCells 3 2 3" xfId="1065" xr:uid="{443A9859-6BCC-405C-A4F5-FF8797B0DED1}"/>
    <cellStyle name="CustomizationGreenCells 3 2 4" xfId="1443" xr:uid="{857BFBB1-F363-41EA-956D-ABB6AEA5A8CD}"/>
    <cellStyle name="CustomizationGreenCells 3 3" xfId="574" xr:uid="{676AFF43-C44A-42DF-86D3-4BA891753A08}"/>
    <cellStyle name="CustomizationGreenCells 3 3 2" xfId="1249" xr:uid="{52579151-95B1-4F42-B269-B732ECD0BF26}"/>
    <cellStyle name="CustomizationGreenCells 3 3 2 2" xfId="763" xr:uid="{87A03523-B9FB-401D-B6A1-01AE43EFAF74}"/>
    <cellStyle name="CustomizationGreenCells 3 3 3" xfId="1035" xr:uid="{35A45207-D724-4A94-9974-8333C4282029}"/>
    <cellStyle name="CustomizationGreenCells 3 3 4" xfId="1512" xr:uid="{13E6C174-10CE-4558-B8DD-AAE9B0F61DEB}"/>
    <cellStyle name="CustomizationGreenCells 3 4" xfId="507" xr:uid="{02D0B7C2-A28D-4F11-9A1C-3996B6D75B47}"/>
    <cellStyle name="CustomizationGreenCells 3 4 2" xfId="1182" xr:uid="{ADE69D22-7A1F-4424-92E4-1E674ECC6161}"/>
    <cellStyle name="CustomizationGreenCells 3 4 2 2" xfId="890" xr:uid="{EC12B21D-B9BC-446C-861A-423B8C79641F}"/>
    <cellStyle name="CustomizationGreenCells 3 4 3" xfId="968" xr:uid="{8ED285A4-0EC1-42F0-94E2-C41C1133316D}"/>
    <cellStyle name="CustomizationGreenCells 3 4 4" xfId="1440" xr:uid="{8B7E22B9-C338-458B-BD25-8C7B7EB00905}"/>
    <cellStyle name="CustomizationGreenCells 3 5" xfId="1150" xr:uid="{76915326-1C5F-4A1B-8423-1C3E0694BD32}"/>
    <cellStyle name="CustomizationGreenCells 3 5 2" xfId="1552" xr:uid="{2B6B5633-F628-4860-9103-3659F92C1956}"/>
    <cellStyle name="CustomizationGreenCells 3 6" xfId="827" xr:uid="{07D7D6A3-4764-4ABF-99C2-F5A7FB2DB1E9}"/>
    <cellStyle name="CustomizationGreenCells 3 7" xfId="1353" xr:uid="{2E212746-8545-4BDE-9FF6-447111A1B9AC}"/>
    <cellStyle name="DocBox_EmptyRow" xfId="16" xr:uid="{3CEB9ABE-29CF-4B2D-A67A-C5AC6F5DFFB0}"/>
    <cellStyle name="Eingabe" xfId="114" xr:uid="{36CC82CC-12F6-4AD8-999F-9BF8C8D9736B}"/>
    <cellStyle name="Eingabe 10" xfId="1461" xr:uid="{5D23B392-ACBD-40DF-9453-B1D61C1A7834}"/>
    <cellStyle name="Eingabe 2" xfId="362" xr:uid="{AC1A00AE-DE9E-4F8C-A509-914D50B253A4}"/>
    <cellStyle name="Eingabe 3" xfId="408" xr:uid="{38223EC6-22C7-43A3-B4A6-1592E52EF153}"/>
    <cellStyle name="Eingabe 3 2" xfId="644" xr:uid="{2FA760EC-A51C-41C8-AD8F-22AA69F97A1D}"/>
    <cellStyle name="Eingabe 3 2 2" xfId="1319" xr:uid="{CF035E62-9480-4740-8FB5-3934726E45F5}"/>
    <cellStyle name="Eingabe 3 2 2 2" xfId="901" xr:uid="{D064DBF5-F7E8-4FE1-8EAC-D69D26F3B974}"/>
    <cellStyle name="Eingabe 3 2 3" xfId="1105" xr:uid="{9E3C070D-1B5E-4A9E-8D67-49E1EC8982BC}"/>
    <cellStyle name="Eingabe 3 2 4" xfId="690" xr:uid="{9C30FBB7-E56E-481A-A3EA-D5B81D7C1C3F}"/>
    <cellStyle name="Eingabe 3 3" xfId="633" xr:uid="{D54319D7-E903-43AB-8DD5-F80DE84C40EB}"/>
    <cellStyle name="Eingabe 3 3 2" xfId="1308" xr:uid="{F3E7A108-2DC9-4BBA-A4FE-4B92E3B0EEB2}"/>
    <cellStyle name="Eingabe 3 3 2 2" xfId="799" xr:uid="{BE567225-77A7-48C5-8F45-93D88A3F3A72}"/>
    <cellStyle name="Eingabe 3 3 3" xfId="1094" xr:uid="{E83FF578-6D4B-46AA-837C-AC13BC7B6EFB}"/>
    <cellStyle name="Eingabe 3 3 4" xfId="1407" xr:uid="{D00758B5-0610-46F4-92EE-7B29004BF4D7}"/>
    <cellStyle name="Eingabe 3 4" xfId="524" xr:uid="{374AA80B-AC35-47FE-8C45-3089E1EE0ACD}"/>
    <cellStyle name="Eingabe 3 4 2" xfId="1199" xr:uid="{F295AD4D-9B27-478C-8C83-F45CE2873F31}"/>
    <cellStyle name="Eingabe 3 4 2 2" xfId="849" xr:uid="{AAA1095B-AF0E-4FFB-A658-E97962B76FC1}"/>
    <cellStyle name="Eingabe 3 4 3" xfId="985" xr:uid="{53B587A5-A3AD-4850-92D8-BC40F9FA4D45}"/>
    <cellStyle name="Eingabe 3 4 4" xfId="1486" xr:uid="{953A9E8B-8D05-4798-AB7B-CD6C60CDC752}"/>
    <cellStyle name="Eingabe 3 5" xfId="1167" xr:uid="{A7E235AC-44A1-4500-A586-73037A6475C0}"/>
    <cellStyle name="Eingabe 3 5 2" xfId="679" xr:uid="{00952767-5895-4D63-B198-AE56275A79CE}"/>
    <cellStyle name="Eingabe 3 6" xfId="915" xr:uid="{2927473C-6488-4A31-8B9F-4BB7BFDA6487}"/>
    <cellStyle name="Eingabe 3 7" xfId="810" xr:uid="{FF887A41-BFBD-4E51-A3D1-E3345F58ADDD}"/>
    <cellStyle name="Eingabe 4" xfId="267" xr:uid="{E8321C90-BF50-46A3-83C9-E0B4D3C7B453}"/>
    <cellStyle name="Eingabe 4 2" xfId="605" xr:uid="{71F0BC00-5A90-4FCC-9105-158AAEDFB935}"/>
    <cellStyle name="Eingabe 4 2 2" xfId="1280" xr:uid="{40006DF9-994E-4257-B0FF-27428F65D53A}"/>
    <cellStyle name="Eingabe 4 2 2 2" xfId="865" xr:uid="{9B9FD3C4-A262-4D34-982E-7D39F369B134}"/>
    <cellStyle name="Eingabe 4 2 3" xfId="1066" xr:uid="{43B8500F-4735-4234-B373-A0AFB2A22764}"/>
    <cellStyle name="Eingabe 4 2 4" xfId="1492" xr:uid="{98C3F8B1-3B6F-44C2-8B4A-9CC26A2D6019}"/>
    <cellStyle name="Eingabe 4 3" xfId="532" xr:uid="{70D45A80-91A0-474B-82E5-76C24ED4FE4E}"/>
    <cellStyle name="Eingabe 4 3 2" xfId="1207" xr:uid="{F2C390A3-7FCE-408B-9BBA-33AB56B29A84}"/>
    <cellStyle name="Eingabe 4 3 2 2" xfId="727" xr:uid="{D7EC67DD-B8A6-4E1A-9BA1-4BDC26C892EA}"/>
    <cellStyle name="Eingabe 4 3 3" xfId="993" xr:uid="{37FC299A-FEBC-4FDA-97F8-992F23E2A1D7}"/>
    <cellStyle name="Eingabe 4 3 4" xfId="1489" xr:uid="{198A955D-3BFE-4354-8BC3-31A7B0CE0DBA}"/>
    <cellStyle name="Eingabe 4 4" xfId="508" xr:uid="{7AD9ADE9-9266-43B7-A132-02AA5F062442}"/>
    <cellStyle name="Eingabe 4 4 2" xfId="1183" xr:uid="{212A6937-082D-49E9-84A1-711F818C9143}"/>
    <cellStyle name="Eingabe 4 4 2 2" xfId="931" xr:uid="{23CB5F0A-E393-4910-8730-D84EBA03103E}"/>
    <cellStyle name="Eingabe 4 4 3" xfId="969" xr:uid="{8F1F6FA1-5C37-41AD-9ED1-2BF0C53AE7E7}"/>
    <cellStyle name="Eingabe 4 4 4" xfId="1475" xr:uid="{31755946-6679-463C-B88B-A205B1521AEC}"/>
    <cellStyle name="Eingabe 4 5" xfId="1151" xr:uid="{7AC81EF1-86D4-4065-A409-F2E976F76999}"/>
    <cellStyle name="Eingabe 4 5 2" xfId="739" xr:uid="{B9CE1AC3-215F-42B3-97EB-BC939103081E}"/>
    <cellStyle name="Eingabe 4 6" xfId="829" xr:uid="{ECEC9A09-1F8C-4D35-AA64-6AE43F5A1667}"/>
    <cellStyle name="Eingabe 4 7" xfId="875" xr:uid="{61053750-C3B4-45B0-9CEE-14135306E306}"/>
    <cellStyle name="Eingabe 5" xfId="542" xr:uid="{27919852-1506-41CF-BFC5-3141D851F843}"/>
    <cellStyle name="Eingabe 5 2" xfId="1217" xr:uid="{264AF069-9413-4B38-A9F2-933291F5516C}"/>
    <cellStyle name="Eingabe 5 2 2" xfId="755" xr:uid="{DC533D02-661A-4199-9C93-E50A4F6A4819}"/>
    <cellStyle name="Eingabe 5 3" xfId="1003" xr:uid="{29F4F991-0843-45FA-BA67-95C2F288EBAB}"/>
    <cellStyle name="Eingabe 5 4" xfId="926" xr:uid="{79067804-1F78-4DDE-A5EC-E95EB40CAE9D}"/>
    <cellStyle name="Eingabe 6" xfId="619" xr:uid="{AC80FCD2-6CDF-43B2-9186-C0FC40727970}"/>
    <cellStyle name="Eingabe 6 2" xfId="1294" xr:uid="{474ACE1F-19A0-468E-8BFA-9B8521226836}"/>
    <cellStyle name="Eingabe 6 2 2" xfId="1375" xr:uid="{D212128B-9EFB-4536-813B-18B52574B923}"/>
    <cellStyle name="Eingabe 6 3" xfId="1080" xr:uid="{DA687803-0E3F-4249-9062-B427760533F0}"/>
    <cellStyle name="Eingabe 6 4" xfId="1483" xr:uid="{8AE7F3F6-4EA4-4C12-B26D-0FC801D800BF}"/>
    <cellStyle name="Eingabe 7" xfId="662" xr:uid="{08960607-34BE-4599-9D17-D304949EA5FF}"/>
    <cellStyle name="Eingabe 7 2" xfId="1336" xr:uid="{E333F715-8377-44C3-A05D-CC56762611EA}"/>
    <cellStyle name="Eingabe 7 2 2" xfId="811" xr:uid="{36D0C618-AACC-4275-BE26-FDCF3E89E399}"/>
    <cellStyle name="Eingabe 7 3" xfId="1122" xr:uid="{277410BF-C867-4D7A-A6A8-253B9306C130}"/>
    <cellStyle name="Eingabe 7 4" xfId="1462" xr:uid="{2793A041-DC2E-4DA5-A375-9B5B10463274}"/>
    <cellStyle name="Eingabe 8" xfId="1131" xr:uid="{1E307433-6B2A-4B46-8E25-F00EEC317FBA}"/>
    <cellStyle name="Eingabe 8 2" xfId="859" xr:uid="{C2C4A11F-8F52-4CD1-AEF7-A6EABF27D8D2}"/>
    <cellStyle name="Eingabe 9" xfId="752" xr:uid="{00D46694-8D40-4837-A8BE-69B8014AE8B9}"/>
    <cellStyle name="Empty_B_border" xfId="22" xr:uid="{FB752B53-D47B-4965-86FA-809057A58103}"/>
    <cellStyle name="Empty_L_border" xfId="1558" xr:uid="{AC5CC5F4-C997-4D77-892F-DCD34D076E94}"/>
    <cellStyle name="Ergebnis" xfId="115" xr:uid="{1EA6C403-9E2E-42BB-B400-F278232B53B1}"/>
    <cellStyle name="Ergebnis 2" xfId="383" xr:uid="{AB94727B-DDAD-4567-A593-4ED0A729A1A3}"/>
    <cellStyle name="Ergebnis 2 2" xfId="639" xr:uid="{F6003229-78BD-4989-96C4-51D0D3407D5A}"/>
    <cellStyle name="Ergebnis 2 2 2" xfId="1314" xr:uid="{95F36976-3755-4C04-94F0-D1FDD9351067}"/>
    <cellStyle name="Ergebnis 2 2 2 2" xfId="800" xr:uid="{4554C20D-EBE7-42E3-AE7B-A2323E1071A6}"/>
    <cellStyle name="Ergebnis 2 2 3" xfId="1100" xr:uid="{34DBE8F5-C77A-4991-8364-883B86D163BE}"/>
    <cellStyle name="Ergebnis 2 2 4" xfId="850" xr:uid="{DF58E176-731E-47B1-B643-71698F7B9501}"/>
    <cellStyle name="Ergebnis 2 3" xfId="571" xr:uid="{57DAE393-119F-4DD5-80AD-27F77224D7B6}"/>
    <cellStyle name="Ergebnis 2 3 2" xfId="1246" xr:uid="{7A9C63BA-27D7-480D-A699-6527B9EFAAEE}"/>
    <cellStyle name="Ergebnis 2 3 2 2" xfId="741" xr:uid="{CB0D8F5D-4F2D-46F1-AAA4-1FF033665260}"/>
    <cellStyle name="Ergebnis 2 3 3" xfId="1032" xr:uid="{BF749CAA-C87D-41F5-B00F-743A081E51E4}"/>
    <cellStyle name="Ergebnis 2 3 4" xfId="1431" xr:uid="{4FDE17B3-49D4-4D8E-9A58-A619DF546528}"/>
    <cellStyle name="Ergebnis 2 4" xfId="562" xr:uid="{2D7D0C93-E47C-4DB0-8E63-CCED2CAA5151}"/>
    <cellStyle name="Ergebnis 2 4 2" xfId="1237" xr:uid="{332B0A44-684B-4E2F-8358-B1CDF115C50C}"/>
    <cellStyle name="Ergebnis 2 4 2 2" xfId="911" xr:uid="{AE620A9E-F37A-4275-B981-4386A5CD23EF}"/>
    <cellStyle name="Ergebnis 2 4 3" xfId="1023" xr:uid="{0F4CDBD3-C2F7-43CE-B181-E9C387ED011D}"/>
    <cellStyle name="Ergebnis 2 4 4" xfId="832" xr:uid="{CA6F3E54-989C-40AF-B75C-755001626401}"/>
    <cellStyle name="Ergebnis 2 5" xfId="1157" xr:uid="{C551AB09-BCA5-436B-8E58-D6345F7008B2}"/>
    <cellStyle name="Ergebnis 2 5 2" xfId="691" xr:uid="{FA89D617-25FC-486B-9C95-55B7B35271CC}"/>
    <cellStyle name="Ergebnis 2 6" xfId="897" xr:uid="{A4AC8003-F098-47EE-BCA6-10BBCA749A15}"/>
    <cellStyle name="Ergebnis 2 7" xfId="903" xr:uid="{F56C1AD6-2792-4145-86E4-7886A30B0287}"/>
    <cellStyle name="Ergebnis 3" xfId="276" xr:uid="{6C46C5CD-6318-431F-AC02-3DCC649B71E9}"/>
    <cellStyle name="Ergebnis 3 2" xfId="613" xr:uid="{6E9A5F3A-7F08-4829-850F-C95DB5645FC6}"/>
    <cellStyle name="Ergebnis 3 2 2" xfId="1288" xr:uid="{1128C521-A8C8-431A-B677-AC2AA89D767D}"/>
    <cellStyle name="Ergebnis 3 2 2 2" xfId="671" xr:uid="{3C2FC959-02FF-431F-88A5-437864463ECF}"/>
    <cellStyle name="Ergebnis 3 2 3" xfId="1074" xr:uid="{87A4EEB9-702D-4591-A0CE-543964ACEC08}"/>
    <cellStyle name="Ergebnis 3 2 4" xfId="845" xr:uid="{3257040C-C422-4EBF-A764-AB1549AE6E20}"/>
    <cellStyle name="Ergebnis 3 3" xfId="527" xr:uid="{62D60C10-A031-44C0-B9ED-B38D4902C702}"/>
    <cellStyle name="Ergebnis 3 3 2" xfId="1202" xr:uid="{A7B6881B-A63B-4CB8-B9CC-6781B5287854}"/>
    <cellStyle name="Ergebnis 3 3 2 2" xfId="887" xr:uid="{27A134E1-4456-4768-8EDD-BF484970C623}"/>
    <cellStyle name="Ergebnis 3 3 3" xfId="988" xr:uid="{60BFF080-0FC6-4EAE-AC12-9EFA6858A1BD}"/>
    <cellStyle name="Ergebnis 3 3 4" xfId="1381" xr:uid="{19A09A1D-0F2C-46B5-9F8C-17BFDA377893}"/>
    <cellStyle name="Ergebnis 3 4" xfId="554" xr:uid="{73966967-8BFF-4177-89C0-9CC6E72CE803}"/>
    <cellStyle name="Ergebnis 3 4 2" xfId="1229" xr:uid="{24858421-9B54-49C8-B8DF-71C2B4166796}"/>
    <cellStyle name="Ergebnis 3 4 2 2" xfId="758" xr:uid="{54F73299-D26A-4C7F-8AE2-EE61E1F84636}"/>
    <cellStyle name="Ergebnis 3 4 3" xfId="1015" xr:uid="{AC6EC023-5008-4D21-A286-14203B23144F}"/>
    <cellStyle name="Ergebnis 3 4 4" xfId="1449" xr:uid="{810CBD44-BCE6-4321-9F89-D425AB7DDB0F}"/>
    <cellStyle name="Ergebnis 3 5" xfId="1153" xr:uid="{3C217114-9B40-4030-8122-4E6B7FF8DC60}"/>
    <cellStyle name="Ergebnis 3 5 2" xfId="1502" xr:uid="{D48FC05C-1551-446E-8C44-0D2E0C17AABB}"/>
    <cellStyle name="Ergebnis 3 6" xfId="838" xr:uid="{3870FEC6-75A0-44C5-91C7-DB1E738B8DC6}"/>
    <cellStyle name="Ergebnis 3 7" xfId="682" xr:uid="{C4132962-4F0B-47A9-AA2B-08D07F528BF4}"/>
    <cellStyle name="Ergebnis 4" xfId="543" xr:uid="{E7376566-2C59-43EA-A881-E2AA2B8EFF54}"/>
    <cellStyle name="Ergebnis 4 2" xfId="1218" xr:uid="{60F50DBD-1A4A-4EAF-AE15-64845734ACCE}"/>
    <cellStyle name="Ergebnis 4 2 2" xfId="937" xr:uid="{708D2273-C2BE-4091-B990-EE62FBFD67DE}"/>
    <cellStyle name="Ergebnis 4 3" xfId="1004" xr:uid="{F6F66D5C-ABEE-4B44-9182-153BA5546FEA}"/>
    <cellStyle name="Ergebnis 4 4" xfId="1438" xr:uid="{607FBC78-87A3-4FD1-9DC0-904EEDA2D34B}"/>
    <cellStyle name="Ergebnis 5" xfId="617" xr:uid="{4AE375D2-C062-4CCD-BF3A-FA5FD7C06A91}"/>
    <cellStyle name="Ergebnis 5 2" xfId="1292" xr:uid="{8E7D9D4C-DF1E-4303-A95F-920C6ABFE7F7}"/>
    <cellStyle name="Ergebnis 5 2 2" xfId="867" xr:uid="{A67937BE-1BFA-404B-A427-7436289BAE3A}"/>
    <cellStyle name="Ergebnis 5 3" xfId="1078" xr:uid="{9F7D26B8-0EB3-480A-80E7-B1C2F5418E28}"/>
    <cellStyle name="Ergebnis 5 4" xfId="1500" xr:uid="{C4C156F3-1AE8-4021-A24F-92FB992FA969}"/>
    <cellStyle name="Ergebnis 6" xfId="624" xr:uid="{D8485657-B30C-46DC-82FB-9A88402F8828}"/>
    <cellStyle name="Ergebnis 6 2" xfId="1299" xr:uid="{5DE68163-3878-4FD8-B967-F2D6B10EF0D4}"/>
    <cellStyle name="Ergebnis 6 2 2" xfId="788" xr:uid="{6A292AB0-11AF-4108-9BB3-024CDDFEFF18}"/>
    <cellStyle name="Ergebnis 6 3" xfId="1085" xr:uid="{BD5BEA4B-0239-4143-9F89-ACBABAB021F7}"/>
    <cellStyle name="Ergebnis 6 4" xfId="1458" xr:uid="{74A2480A-5B3A-47B2-8FB3-481F4DD20267}"/>
    <cellStyle name="Ergebnis 7" xfId="1132" xr:uid="{516E14DD-C4D2-4565-AED6-A497E2ED5E2E}"/>
    <cellStyle name="Ergebnis 7 2" xfId="695" xr:uid="{5752C973-6E44-4A83-A428-60CC280AA768}"/>
    <cellStyle name="Ergebnis 8" xfId="753" xr:uid="{BBA13F31-C60F-416E-BE9A-6B8E41050FD4}"/>
    <cellStyle name="Ergebnis 9" xfId="1465" xr:uid="{61BAC583-7555-4619-90DE-26EE7DA87424}"/>
    <cellStyle name="Erklärender Text" xfId="116" xr:uid="{0F18AA64-5399-48F5-A245-AD0637C2882C}"/>
    <cellStyle name="Erklärender Text 2" xfId="384" xr:uid="{D5101F64-22AD-49E3-804E-7D9F62092A10}"/>
    <cellStyle name="Erklärender Text 3" xfId="266" xr:uid="{B488D5A6-0BE0-41C3-A8C1-3ABD505CE651}"/>
    <cellStyle name="Explanatory Text 2" xfId="117" xr:uid="{5DE07C9B-79A8-48DA-91C1-8F2244438611}"/>
    <cellStyle name="Explanatory Text 3" xfId="216" xr:uid="{702858C5-369C-4AE4-80F1-2F26662527AD}"/>
    <cellStyle name="Good 2" xfId="118" xr:uid="{0A6C36B0-768B-4A04-B226-F0B746DA353E}"/>
    <cellStyle name="Good 3" xfId="217" xr:uid="{67609D56-6635-4044-A328-C62A0D44475B}"/>
    <cellStyle name="Good 4" xfId="346" xr:uid="{20C9809D-1F8B-4609-BFD6-5B92203A6066}"/>
    <cellStyle name="Gut" xfId="119" xr:uid="{7A7A9860-90A8-48D7-9282-BFDB7C45977A}"/>
    <cellStyle name="Heading 1 2" xfId="120" xr:uid="{9781C576-B9A2-42CA-8C55-9FEA7B998405}"/>
    <cellStyle name="Heading 1 3" xfId="218" xr:uid="{88722D32-E07B-489B-B66B-AD4E7CE96CDF}"/>
    <cellStyle name="Heading 1 4" xfId="354" xr:uid="{72744B59-6DB3-42D6-9A0D-76F7A1138331}"/>
    <cellStyle name="Heading 2 2" xfId="121" xr:uid="{ACFD84C6-BF8F-435E-922E-1A8A38209526}"/>
    <cellStyle name="Heading 2 3" xfId="219" xr:uid="{48C24BD6-8C7A-4AE5-AEA4-F016B7F425B5}"/>
    <cellStyle name="Heading 2 4" xfId="355" xr:uid="{8837546A-A503-49B2-A057-7EC5AF9702FE}"/>
    <cellStyle name="Heading 3 2" xfId="122" xr:uid="{7D94EC32-79E2-4A59-BD75-FC9E90BF95D8}"/>
    <cellStyle name="Heading 3 3" xfId="220" xr:uid="{A6369B40-291F-461E-BEA6-06C3B5D3156E}"/>
    <cellStyle name="Heading 3 4" xfId="356" xr:uid="{7F42F8B3-2898-49DE-8B11-5F6684F643EF}"/>
    <cellStyle name="Heading 4 2" xfId="123" xr:uid="{6E92FA5E-11DA-4572-AF87-C80C8CCA74D7}"/>
    <cellStyle name="Heading 4 3" xfId="221" xr:uid="{3419D283-83BB-453C-BD71-F9F41C500F08}"/>
    <cellStyle name="Heading 4 4" xfId="357" xr:uid="{17BD972D-68E7-4BD6-8DE0-D64D420D0AE6}"/>
    <cellStyle name="Headline" xfId="4" xr:uid="{729D7A37-CC12-4D5A-A419-7574D42473B9}"/>
    <cellStyle name="Hyperlink" xfId="1556" builtinId="8"/>
    <cellStyle name="Input 2" xfId="124" xr:uid="{C4857D84-8B43-484E-AB38-CC156F0B0C35}"/>
    <cellStyle name="Input 2 2" xfId="546" xr:uid="{56D9E56C-F65D-47CD-9A04-E028DB7CBB9C}"/>
    <cellStyle name="Input 2 2 2" xfId="1221" xr:uid="{5D086656-3EDF-415A-94F2-A32A9909FC94}"/>
    <cellStyle name="Input 2 2 2 2" xfId="756" xr:uid="{7E0A389D-F330-43F0-B3B9-16FFEB548A72}"/>
    <cellStyle name="Input 2 2 3" xfId="1007" xr:uid="{4262C2F3-12CC-4A63-B5F2-4C2824A15A33}"/>
    <cellStyle name="Input 2 2 4" xfId="1477" xr:uid="{C66B85B2-94C0-41DA-A50E-3278D5864C08}"/>
    <cellStyle name="Input 2 3" xfId="650" xr:uid="{9126CC17-5853-485A-BBF3-AF7298CB6D63}"/>
    <cellStyle name="Input 2 3 2" xfId="1325" xr:uid="{9896EFD7-8FF3-4D4A-BD94-4488D05DAF2C}"/>
    <cellStyle name="Input 2 3 2 2" xfId="683" xr:uid="{D2F6789F-FF03-4C44-8CFE-7C2AFAF258AB}"/>
    <cellStyle name="Input 2 3 3" xfId="1111" xr:uid="{88CB169A-17F7-497A-98E6-D06073371036}"/>
    <cellStyle name="Input 2 3 4" xfId="1386" xr:uid="{D0A1EA2D-A29E-4319-91CD-C2FCAD3BA0E3}"/>
    <cellStyle name="Input 2 4" xfId="661" xr:uid="{AECE9E11-B3FF-493C-9E4D-E3CA4BA7EA01}"/>
    <cellStyle name="Input 2 4 2" xfId="1335" xr:uid="{1217A274-4E0B-4856-8E58-FE059D8E069C}"/>
    <cellStyle name="Input 2 4 2 2" xfId="882" xr:uid="{60BAB326-ED56-463D-8EF5-4582DD83AB0C}"/>
    <cellStyle name="Input 2 4 3" xfId="1121" xr:uid="{62B65390-AA76-4617-98A9-C91E6E8584DC}"/>
    <cellStyle name="Input 2 4 4" xfId="1370" xr:uid="{6087960E-56BC-4FC0-AD2D-573F5AF38BB5}"/>
    <cellStyle name="Input 2 5" xfId="1133" xr:uid="{E3CD1AEF-F1DC-4415-A58B-E23E26485A69}"/>
    <cellStyle name="Input 2 5 2" xfId="956" xr:uid="{30DF9607-5975-4C0C-99BB-F756190C95E9}"/>
    <cellStyle name="Input 2 6" xfId="762" xr:uid="{78F426B5-415E-485A-AED4-38A8F4450182}"/>
    <cellStyle name="Input 2 7" xfId="1474" xr:uid="{B3E59294-7885-4D40-B785-588214EC51FA}"/>
    <cellStyle name="Input 3" xfId="222" xr:uid="{61B418CF-28D0-4C4E-91B2-941A7386E19A}"/>
    <cellStyle name="Input 3 2" xfId="578" xr:uid="{0E8E0034-1CDC-4D41-80B3-A61FCA4A7994}"/>
    <cellStyle name="Input 3 2 2" xfId="1253" xr:uid="{112DC23A-7FA7-4006-B314-756496C01811}"/>
    <cellStyle name="Input 3 2 2 2" xfId="1495" xr:uid="{2A1AC057-C6E9-44D5-819F-02D192B3FA2F}"/>
    <cellStyle name="Input 3 2 3" xfId="1039" xr:uid="{B54CCE5B-3AF1-4F8E-8B75-8AC72EC0CAF8}"/>
    <cellStyle name="Input 3 2 4" xfId="1421" xr:uid="{C45F8EB9-D74C-4A56-ABE4-C187938F384A}"/>
    <cellStyle name="Input 3 3" xfId="577" xr:uid="{165A0716-97EF-4854-8E2D-53A7C5FEAAC7}"/>
    <cellStyle name="Input 3 3 2" xfId="1252" xr:uid="{6F60CFA9-C8EB-4416-940F-2BAE36013E64}"/>
    <cellStyle name="Input 3 3 2 2" xfId="1435" xr:uid="{97046E3D-C559-4BC8-A288-439A674728FE}"/>
    <cellStyle name="Input 3 3 3" xfId="1038" xr:uid="{CEBB31AF-AD20-4BD3-BA8B-09E0134C09AE}"/>
    <cellStyle name="Input 3 3 4" xfId="1523" xr:uid="{C405100E-E21E-4CB2-8D46-BB4C4C01A559}"/>
    <cellStyle name="Input 3 4" xfId="521" xr:uid="{3ED946BE-5176-40DE-8F3B-9F872D8E4CD5}"/>
    <cellStyle name="Input 3 4 2" xfId="1196" xr:uid="{FF24561F-3210-45A7-B798-F85834270773}"/>
    <cellStyle name="Input 3 4 2 2" xfId="771" xr:uid="{0891BF7C-42C4-464F-AAD8-3242CF43F084}"/>
    <cellStyle name="Input 3 4 3" xfId="982" xr:uid="{871A0417-3BBF-4D79-8042-8CA80411AC8F}"/>
    <cellStyle name="Input 3 4 4" xfId="1478" xr:uid="{5A79418B-52DA-4AEF-A4C0-41D80913DED7}"/>
    <cellStyle name="Input 3 5" xfId="1139" xr:uid="{F21B7CBA-0541-463D-9F8B-670D7C1B0A34}"/>
    <cellStyle name="Input 3 5 2" xfId="1403" xr:uid="{84CECF56-0ED0-4655-8AE6-3E9C11B2C8A4}"/>
    <cellStyle name="Input 3 6" xfId="801" xr:uid="{EF2234E7-BB6F-4D41-94DE-E51941DDDB79}"/>
    <cellStyle name="Input 3 7" xfId="1344" xr:uid="{8B07EB1D-7F3D-4115-8C53-0C07B7B91269}"/>
    <cellStyle name="Input 4" xfId="333" xr:uid="{A466927C-286C-413C-A209-DF2CCA5BF4E3}"/>
    <cellStyle name="InputCells" xfId="12" xr:uid="{DAFB61CA-1549-4CB3-A4AB-DC07A8C51944}"/>
    <cellStyle name="InputCells 2" xfId="125" xr:uid="{C386F0B8-66AD-4830-A8B9-D70C0BD6E31C}"/>
    <cellStyle name="InputCells 3" xfId="181" xr:uid="{AB045A56-07FD-423F-8195-CB9AED2CAEE6}"/>
    <cellStyle name="InputCells 4" xfId="336" xr:uid="{01B959C3-B0D5-4C72-943D-D0EDF0FCD784}"/>
    <cellStyle name="InputCells_Bborder_1" xfId="126" xr:uid="{63715764-154F-4EA0-AA97-C8639A008418}"/>
    <cellStyle name="InputCells12" xfId="21" xr:uid="{1E3E7C83-17E9-47CD-9E51-CE55A06260F6}"/>
    <cellStyle name="InputCells12 2" xfId="127" xr:uid="{FEF9F846-FD77-4F1A-8AB5-B0DC61EE5FED}"/>
    <cellStyle name="InputCells12 2 2" xfId="410" xr:uid="{107BFAA2-123A-451C-8F51-54AA16F9F20B}"/>
    <cellStyle name="InputCells12 2 2 2" xfId="584" xr:uid="{73CBAD82-AA70-4E71-A530-2711A092FBC5}"/>
    <cellStyle name="InputCells12 2 2 2 2" xfId="1259" xr:uid="{D3314038-F37E-4152-8B7B-01AB4EA585C6}"/>
    <cellStyle name="InputCells12 2 2 2 2 2" xfId="944" xr:uid="{94372C92-642D-446A-A154-906053E7B31B}"/>
    <cellStyle name="InputCells12 2 2 2 3" xfId="1045" xr:uid="{F0C92B09-FC7D-49D3-BA87-A5B6A665BEE1}"/>
    <cellStyle name="InputCells12 2 2 2 4" xfId="1497" xr:uid="{8B14B95D-A979-4DCA-8B09-D8F40EBDAC17}"/>
    <cellStyle name="InputCells12 2 2 3" xfId="1169" xr:uid="{800E0E24-50C7-4CA7-8C2A-C3C1B58FC8D1}"/>
    <cellStyle name="InputCells12 2 2 3 2" xfId="1469" xr:uid="{3665685A-F7CE-4460-861A-4859DEF8CC3F}"/>
    <cellStyle name="InputCells12 2 3" xfId="269" xr:uid="{D2A14DD9-F508-48A0-9DEF-15A1B9266669}"/>
    <cellStyle name="InputCells12 2 3 2" xfId="607" xr:uid="{55B03728-3A07-4327-8F63-AB003D7D05CC}"/>
    <cellStyle name="InputCells12 2 3 2 2" xfId="1282" xr:uid="{6B31246A-1185-479B-A54E-E48348A39F16}"/>
    <cellStyle name="InputCells12 2 3 2 2 2" xfId="720" xr:uid="{B7F50D66-6261-4E4E-8792-8FF3C83BB41F}"/>
    <cellStyle name="InputCells12 2 3 2 3" xfId="1068" xr:uid="{65389D1B-082F-423D-867B-4DA9DCBBA43B}"/>
    <cellStyle name="InputCells12 2 3 2 4" xfId="1481" xr:uid="{C019AC59-AB22-472B-9D8E-C1B939690BDD}"/>
    <cellStyle name="InputCells12 2 3 3" xfId="530" xr:uid="{52C085E1-1159-45B6-8BEE-E9DA95A08193}"/>
    <cellStyle name="InputCells12 2 3 3 2" xfId="1205" xr:uid="{7D1E411B-73D6-4CB0-97FB-F1CA3CE294DC}"/>
    <cellStyle name="InputCells12 2 3 3 2 2" xfId="678" xr:uid="{C3BD044B-4558-49C8-B5A4-A767DCE496F1}"/>
    <cellStyle name="InputCells12 2 3 3 3" xfId="991" xr:uid="{A6DFF5FA-F883-4DC6-B504-A3E7F53B762E}"/>
    <cellStyle name="InputCells12 2 3 3 4" xfId="737" xr:uid="{16C94BE1-1CF1-45AB-B6FC-081BFBC06F5A}"/>
    <cellStyle name="InputCells12 2 3 4" xfId="646" xr:uid="{CF211E4B-49F4-4312-97A5-5863E6A7B1FF}"/>
    <cellStyle name="InputCells12 2 3 4 2" xfId="1321" xr:uid="{C25FE437-5E11-4180-83FF-A6919DC47E43}"/>
    <cellStyle name="InputCells12 2 3 4 2 2" xfId="722" xr:uid="{B232E78D-9616-497B-B81B-EC1EA3A6A6DF}"/>
    <cellStyle name="InputCells12 2 3 4 3" xfId="1107" xr:uid="{5B845F22-50AA-4F91-A0FE-CE5CC4AE3921}"/>
    <cellStyle name="InputCells12 2 3 4 4" xfId="693" xr:uid="{BC0718FC-247B-4FF2-9530-A257107D5F91}"/>
    <cellStyle name="InputCells12 2 3 5" xfId="831" xr:uid="{4A4202F0-4C0F-4539-BB45-1517F0EF407D}"/>
    <cellStyle name="InputCells12 2 3 6" xfId="1351" xr:uid="{BEA8C3A1-0FFB-4C5C-9C44-BF73FA409F14}"/>
    <cellStyle name="InputCells12 3" xfId="409" xr:uid="{CEC53EE6-A478-4E7C-A0FD-D7D4CBFF60AE}"/>
    <cellStyle name="InputCells12 3 2" xfId="514" xr:uid="{CCD1E5CE-F76E-47A9-922C-0587BCB6D341}"/>
    <cellStyle name="InputCells12 3 2 2" xfId="1189" xr:uid="{757169B0-51C8-4134-A722-3A4DA82369DB}"/>
    <cellStyle name="InputCells12 3 2 2 2" xfId="698" xr:uid="{652E1B3C-4A5E-4006-8FCD-03BC07EECD3A}"/>
    <cellStyle name="InputCells12 3 2 3" xfId="975" xr:uid="{4B42FDAF-47CD-466A-870B-AA8A7B994BDD}"/>
    <cellStyle name="InputCells12 3 2 4" xfId="925" xr:uid="{6FA6435C-EDC4-491D-96BA-D9F35B5D8E90}"/>
    <cellStyle name="InputCells12 3 3" xfId="1168" xr:uid="{8FF5BFB5-BC19-40E8-BCA4-6E35A34AE1F2}"/>
    <cellStyle name="InputCells12 3 3 2" xfId="1452" xr:uid="{C46EA0B6-D2CB-421B-899E-9A86CF37EC04}"/>
    <cellStyle name="InputCells12 4" xfId="268" xr:uid="{3A119C60-6D3E-4206-86A9-BBD73FA3F852}"/>
    <cellStyle name="InputCells12 4 2" xfId="606" xr:uid="{FB15AA9C-9BB7-49DB-BB57-EB46F44F134B}"/>
    <cellStyle name="InputCells12 4 2 2" xfId="1281" xr:uid="{C57CED46-CF81-4EED-9256-FD4EA95BF539}"/>
    <cellStyle name="InputCells12 4 2 2 2" xfId="686" xr:uid="{F0B50AA6-0777-4DC2-BF08-A655ED0A1606}"/>
    <cellStyle name="InputCells12 4 2 3" xfId="1067" xr:uid="{57AAB3F7-E9E9-4C7C-82FA-D78AD0D417F4}"/>
    <cellStyle name="InputCells12 4 2 4" xfId="1391" xr:uid="{02F738E5-0F08-412D-968F-1502DEBA03DC}"/>
    <cellStyle name="InputCells12 4 3" xfId="531" xr:uid="{0C25B115-B24A-421C-9226-6C55AD981D1D}"/>
    <cellStyle name="InputCells12 4 3 2" xfId="1206" xr:uid="{E3779F2C-2665-4F98-8AA9-2F7C6F84A379}"/>
    <cellStyle name="InputCells12 4 3 2 2" xfId="934" xr:uid="{00B2E825-85C2-4CEC-8F87-4CE421FC7451}"/>
    <cellStyle name="InputCells12 4 3 3" xfId="992" xr:uid="{779EB598-F36C-46FF-876D-66C184B5D5F7}"/>
    <cellStyle name="InputCells12 4 3 4" xfId="1450" xr:uid="{12222D11-567F-4091-8BDD-563D90DCF41D}"/>
    <cellStyle name="InputCells12 4 4" xfId="505" xr:uid="{B606FDAE-057D-4FD0-A409-4B4E1215B8FC}"/>
    <cellStyle name="InputCells12 4 4 2" xfId="1180" xr:uid="{FE17C546-C6EE-44A3-8459-65B4164D53B2}"/>
    <cellStyle name="InputCells12 4 4 2 2" xfId="1494" xr:uid="{F9AC4440-5FB3-4F4A-9B79-66AE5FA342D3}"/>
    <cellStyle name="InputCells12 4 4 3" xfId="966" xr:uid="{F6FF5731-3FBF-436E-978A-A96B81F8931E}"/>
    <cellStyle name="InputCells12 4 4 4" xfId="1395" xr:uid="{E1E11EBE-4798-4D0C-AF96-561D461AFF43}"/>
    <cellStyle name="InputCells12 4 5" xfId="830" xr:uid="{DD6664B5-C502-4672-9E24-358EC6E53986}"/>
    <cellStyle name="InputCells12 4 6" xfId="1348" xr:uid="{7EBE4A9E-441A-4975-B4B7-5C779177288B}"/>
    <cellStyle name="InputCells12 5" xfId="707" xr:uid="{AB594BFB-F8D6-439C-A29C-9649F2C88708}"/>
    <cellStyle name="InputCells12 5 2" xfId="1392" xr:uid="{739D9AB9-CA08-44AB-94A9-6B9A2EFFDFF9}"/>
    <cellStyle name="InputCells12_BBorder" xfId="27" xr:uid="{E3AAE29D-C576-4045-8517-DA8F7F8D001E}"/>
    <cellStyle name="IntCells" xfId="128" xr:uid="{C6C2894E-0511-4C21-9C76-E9AB43F65D3F}"/>
    <cellStyle name="KP_thin_border_dark_grey" xfId="129" xr:uid="{DB433611-5B97-47D5-81EA-CF464B20526C}"/>
    <cellStyle name="Linked Cell 2" xfId="130" xr:uid="{CFCD6F7A-D165-4324-B904-8EC616AEE2C6}"/>
    <cellStyle name="Linked Cell 3" xfId="223" xr:uid="{9E74EEA3-352A-448F-B7A2-70958D780AEB}"/>
    <cellStyle name="Linked Cell 4" xfId="358" xr:uid="{228FC0EC-5552-47AD-8040-A07BBF658563}"/>
    <cellStyle name="Neutral 2" xfId="131" xr:uid="{770E67D5-3794-40E4-9F62-00F7379FDBE0}"/>
    <cellStyle name="Neutral 3" xfId="224" xr:uid="{245EA378-2341-475C-9DAF-E3A0A92239FE}"/>
    <cellStyle name="Normaali 2" xfId="132" xr:uid="{FCDF44B7-5AAB-4B77-BB4F-1C727596857D}"/>
    <cellStyle name="Normaali 2 2" xfId="133" xr:uid="{B3871F1B-AEE0-451D-AF70-AF5AAD57EE25}"/>
    <cellStyle name="Normal" xfId="0" builtinId="0"/>
    <cellStyle name="Normal 10" xfId="361" xr:uid="{9CF925C7-2C67-45A5-A2F3-5526B5636ECA}"/>
    <cellStyle name="Normal 10 2" xfId="430" xr:uid="{B3452DBF-69EE-4CDA-A46D-C61A23605328}"/>
    <cellStyle name="Normal 11" xfId="389" xr:uid="{1AE74871-BBA2-437E-BE6B-051D2599B656}"/>
    <cellStyle name="Normal 11 2" xfId="431" xr:uid="{CFAE3EDD-F6B5-43DB-9D49-DA04B875EFF6}"/>
    <cellStyle name="Normal 12" xfId="500" xr:uid="{6779E4C1-8200-422F-99CB-85270764BFB7}"/>
    <cellStyle name="Normal 12 2" xfId="660" xr:uid="{2488E52D-4640-4B5E-AC94-78EB42C91583}"/>
    <cellStyle name="Normal 13" xfId="1541" xr:uid="{BA485F72-8920-49A3-A40E-04232BF92196}"/>
    <cellStyle name="Normal 18" xfId="669" xr:uid="{4FB56012-6746-4709-B514-1C7159D7BD55}"/>
    <cellStyle name="Normal 2" xfId="6" xr:uid="{06F9F188-4CB5-4ED8-9484-E66E069889D3}"/>
    <cellStyle name="Normal 2 2" xfId="134" xr:uid="{FC6519E7-07DA-4AA4-B36A-908CDA3D327A}"/>
    <cellStyle name="Normal 2 2 2" xfId="135" xr:uid="{09FCEF48-F8D6-42D7-AC49-CFC710DBA7F0}"/>
    <cellStyle name="Normal 2 3" xfId="136" xr:uid="{A398CC8C-8853-4C3B-88AC-2B27D63598AF}"/>
    <cellStyle name="Normal 2 3 2" xfId="411" xr:uid="{434C2A11-2CC8-497D-BC5C-8FECC088E7AF}"/>
    <cellStyle name="Normal 2 4" xfId="186" xr:uid="{3355D8DB-3785-4B75-AF59-60D9929F30F2}"/>
    <cellStyle name="Normal 2 5" xfId="668" xr:uid="{34163D3D-892C-445F-8A01-12715845D6AA}"/>
    <cellStyle name="Normal 3" xfId="2" xr:uid="{F2DE5DC8-14E5-4D1C-9C92-3BC855175FEC}"/>
    <cellStyle name="Normal 3 2" xfId="138" xr:uid="{268DFBD4-1609-4E78-9349-BA88F5FDE1CE}"/>
    <cellStyle name="Normal 3 2 2" xfId="187" xr:uid="{5846BEEE-33BB-45F0-824C-63DB3C02591E}"/>
    <cellStyle name="Normal 3 3" xfId="182" xr:uid="{0AAD3B72-E089-493B-ABE9-1B874D1F357B}"/>
    <cellStyle name="Normal 3 4" xfId="347" xr:uid="{B0627BA4-8383-4A8B-B041-7516B9CDB843}"/>
    <cellStyle name="Normal 3 5" xfId="137" xr:uid="{AD66A0A8-D036-4590-BF1C-7D476A8B950C}"/>
    <cellStyle name="Normal 4" xfId="3" xr:uid="{E60FD184-70D1-4F81-A332-FAF08D614691}"/>
    <cellStyle name="Normal 4 2" xfId="140" xr:uid="{27D4AF81-1C44-4218-B5EA-BB6944EC5087}"/>
    <cellStyle name="Normal 4 2 2" xfId="141" xr:uid="{5F010579-60EF-4A9B-8259-2F6C5BB21DA2}"/>
    <cellStyle name="Normal 4 2 3" xfId="412" xr:uid="{1EBEF41D-E5CF-4D28-9AA1-BDDBCEBD791C}"/>
    <cellStyle name="Normal 4 3" xfId="183" xr:uid="{E716D89E-0338-476A-A918-A136057A9E89}"/>
    <cellStyle name="Normal 4 3 2" xfId="413" xr:uid="{D51C9E46-9E0D-498C-8885-B2D17139054C}"/>
    <cellStyle name="Normal 4 4" xfId="139" xr:uid="{FAB98539-25BF-4A78-95B8-750E55F30A04}"/>
    <cellStyle name="Normal 5" xfId="142" xr:uid="{3DFB8F66-7EA4-4E50-9094-E64D5DC55FB1}"/>
    <cellStyle name="Normal 5 2" xfId="279" xr:uid="{D064EA94-FF92-4F82-8EAE-3089589F21DF}"/>
    <cellStyle name="Normal 5 2 2" xfId="286" xr:uid="{405AF6F5-E7E5-4C48-A37D-64AB22C31893}"/>
    <cellStyle name="Normal 5 2 2 2" xfId="292" xr:uid="{1F784D03-CE66-4041-B5B0-90266F98A20D}"/>
    <cellStyle name="Normal 5 2 2 2 2" xfId="307" xr:uid="{A08EBEC5-C10C-45DF-A700-59285F2BF967}"/>
    <cellStyle name="Normal 5 2 2 2 2 2" xfId="436" xr:uid="{8BEA6F58-19AA-4FCD-9C6E-1B3F5EAB9E8D}"/>
    <cellStyle name="Normal 5 2 2 2 3" xfId="435" xr:uid="{88D45E41-D0D9-4B59-8811-3D620EDA8988}"/>
    <cellStyle name="Normal 5 2 2 3" xfId="306" xr:uid="{AAC90E36-8549-4BF5-88EB-06649337D4B4}"/>
    <cellStyle name="Normal 5 2 2 3 2" xfId="437" xr:uid="{7B3A2BB1-DE8C-4120-8EB4-24F9D905A7C2}"/>
    <cellStyle name="Normal 5 2 2 4" xfId="434" xr:uid="{43801361-3729-43A8-8D80-417485B31EE3}"/>
    <cellStyle name="Normal 5 2 3" xfId="291" xr:uid="{D106AF9C-2413-4D76-A5A1-66F8A39FFCF9}"/>
    <cellStyle name="Normal 5 2 3 2" xfId="308" xr:uid="{CEDD8A40-2976-40D2-885F-4FAA1B3E3AB0}"/>
    <cellStyle name="Normal 5 2 3 2 2" xfId="439" xr:uid="{F4623F83-FD45-4CC5-88F9-F8CD734F8C74}"/>
    <cellStyle name="Normal 5 2 3 3" xfId="438" xr:uid="{A48F8E72-365E-4E11-9B09-9701523E74C6}"/>
    <cellStyle name="Normal 5 2 4" xfId="305" xr:uid="{ACE2B2E3-A553-4849-8395-03C480FEC87B}"/>
    <cellStyle name="Normal 5 2 4 2" xfId="440" xr:uid="{39C5A4C3-0038-4CBC-9EEB-941FF36F552A}"/>
    <cellStyle name="Normal 5 2 5" xfId="414" xr:uid="{7B944684-B0C2-4C59-908A-55EDF4D9031E}"/>
    <cellStyle name="Normal 5 2 5 2" xfId="441" xr:uid="{1DF1F82B-FCD4-4618-80D2-ED7F57CF3BFA}"/>
    <cellStyle name="Normal 5 2 6" xfId="433" xr:uid="{201E9E90-A3C9-475F-BBD4-1A438C16D5AC}"/>
    <cellStyle name="Normal 5 3" xfId="283" xr:uid="{EDB9F670-DB61-488E-BBF9-8B77DCAD23FD}"/>
    <cellStyle name="Normal 5 3 2" xfId="293" xr:uid="{4401A608-D0C7-4FF0-BDD8-57920A2BC198}"/>
    <cellStyle name="Normal 5 3 2 2" xfId="310" xr:uid="{B0768341-BAD4-404E-8597-D3255588A55D}"/>
    <cellStyle name="Normal 5 3 2 2 2" xfId="444" xr:uid="{FA4B1932-3BBF-4843-B610-B45C8A336325}"/>
    <cellStyle name="Normal 5 3 2 3" xfId="443" xr:uid="{395DC22A-0944-4136-A836-6A261A750895}"/>
    <cellStyle name="Normal 5 3 3" xfId="309" xr:uid="{5E22F59F-4625-4535-BBF4-2314C2BEAA55}"/>
    <cellStyle name="Normal 5 3 3 2" xfId="445" xr:uid="{75DFDF33-2F6A-4384-A0E9-477C29BBE064}"/>
    <cellStyle name="Normal 5 3 4" xfId="442" xr:uid="{F4743BA5-70FB-4704-8670-E36F381F4576}"/>
    <cellStyle name="Normal 5 4" xfId="290" xr:uid="{04CE62C6-E0A2-491E-80CF-B9238650C3EA}"/>
    <cellStyle name="Normal 5 4 2" xfId="311" xr:uid="{708E667C-F884-4AB0-B254-01B245B49868}"/>
    <cellStyle name="Normal 5 4 2 2" xfId="447" xr:uid="{E554FA4A-0A3E-4E02-8B31-34D58942506D}"/>
    <cellStyle name="Normal 5 4 3" xfId="446" xr:uid="{ABD91C47-54EA-4464-BD94-7D354920FFCE}"/>
    <cellStyle name="Normal 5 5" xfId="304" xr:uid="{3CEB87F5-476D-44A1-BD4E-DB8EEA2AFD12}"/>
    <cellStyle name="Normal 5 5 2" xfId="448" xr:uid="{23A3E9D6-2213-4FBC-B78D-CD0CEB03F889}"/>
    <cellStyle name="Normal 5 6" xfId="348" xr:uid="{2764D65E-4912-424C-A07C-15C2CBFA371F}"/>
    <cellStyle name="Normal 5 7" xfId="432" xr:uid="{B1042EB8-B8C0-4C19-8CB6-05639CF3A3EF}"/>
    <cellStyle name="Normal 5 8" xfId="270" xr:uid="{04B9DD5F-0EFE-40A6-8E28-A2520D0D9163}"/>
    <cellStyle name="Normal 6" xfId="143" xr:uid="{86AA87D6-516E-4A45-9A73-07BF9D6703EC}"/>
    <cellStyle name="Normal 6 10" xfId="415" xr:uid="{C80C8CE1-EB39-4D77-BF09-E908AF97FE95}"/>
    <cellStyle name="Normal 6 10 2" xfId="450" xr:uid="{FFD02B50-82A0-43BA-B34F-EFB0FAC150F8}"/>
    <cellStyle name="Normal 6 11" xfId="449" xr:uid="{03EB585B-3824-46C1-B543-756F0B20C14A}"/>
    <cellStyle name="Normal 6 2" xfId="280" xr:uid="{18520996-765D-4A67-988E-5CDF759D4F0F}"/>
    <cellStyle name="Normal 6 2 2" xfId="287" xr:uid="{003DE65C-ABB5-4C4E-8C04-A93730BB009E}"/>
    <cellStyle name="Normal 6 2 2 2" xfId="296" xr:uid="{6BBAC191-B8D4-4915-88A2-7044733589F4}"/>
    <cellStyle name="Normal 6 2 2 2 2" xfId="315" xr:uid="{90DCDED1-80D4-47F9-A1BD-D5645551B7C9}"/>
    <cellStyle name="Normal 6 2 2 2 2 2" xfId="454" xr:uid="{AC739439-37C7-4CA9-83DB-AAEE3A87048F}"/>
    <cellStyle name="Normal 6 2 2 2 3" xfId="453" xr:uid="{2511F88F-5785-4BD5-80A8-C1CC0ABB16F0}"/>
    <cellStyle name="Normal 6 2 2 3" xfId="314" xr:uid="{1626F1BA-38F8-408B-9895-737422BE6A4D}"/>
    <cellStyle name="Normal 6 2 2 3 2" xfId="455" xr:uid="{DA072AE0-7F72-48C3-B5AE-3216AFC34D63}"/>
    <cellStyle name="Normal 6 2 2 4" xfId="452" xr:uid="{05AE7B89-5B11-4449-AD2A-3503AA8BA235}"/>
    <cellStyle name="Normal 6 2 3" xfId="295" xr:uid="{7BACE8E3-CC6E-48E9-B17F-6F2B9801FF41}"/>
    <cellStyle name="Normal 6 2 3 2" xfId="316" xr:uid="{9BAEE73B-13A5-4D55-B9FF-D5EABDB637C1}"/>
    <cellStyle name="Normal 6 2 3 2 2" xfId="457" xr:uid="{3B4109F9-98E5-492A-A4B7-42FD5E9DFE92}"/>
    <cellStyle name="Normal 6 2 3 3" xfId="456" xr:uid="{26FCED3C-2B4A-4B4F-97F9-1951F8F39B5D}"/>
    <cellStyle name="Normal 6 2 4" xfId="313" xr:uid="{95BF4502-72E4-4976-944F-4BBAA3D8D26D}"/>
    <cellStyle name="Normal 6 2 4 2" xfId="458" xr:uid="{E04BF9C1-1DB0-4CE8-9F24-1091C75EC682}"/>
    <cellStyle name="Normal 6 2 5" xfId="416" xr:uid="{D837EA71-B994-4478-9F69-E25F50C43655}"/>
    <cellStyle name="Normal 6 2 5 2" xfId="459" xr:uid="{AEA0142B-12EF-40AD-90D9-FACBE899FD9E}"/>
    <cellStyle name="Normal 6 2 6" xfId="451" xr:uid="{0E31C8ED-A623-4771-99D5-D99F1C8F46AC}"/>
    <cellStyle name="Normal 6 3" xfId="282" xr:uid="{4649E302-A29E-43A3-B915-DF67B880B3DF}"/>
    <cellStyle name="Normal 6 3 2" xfId="289" xr:uid="{EEC9F2D1-352E-42DC-8BED-717717D6DBE5}"/>
    <cellStyle name="Normal 6 3 2 2" xfId="298" xr:uid="{2DFCB9CD-3068-4F83-9C37-CE7475A9D938}"/>
    <cellStyle name="Normal 6 3 2 2 2" xfId="319" xr:uid="{D5606D59-0700-429A-975B-E160D86B13F9}"/>
    <cellStyle name="Normal 6 3 2 2 2 2" xfId="463" xr:uid="{FB430883-375F-492D-AD12-B7FEAB543A56}"/>
    <cellStyle name="Normal 6 3 2 2 3" xfId="462" xr:uid="{7AFE0B1E-EE54-44AE-BD95-8A66D0EA1F90}"/>
    <cellStyle name="Normal 6 3 2 3" xfId="318" xr:uid="{A7CE892B-3F10-4C2A-9582-8F55EAEFBC06}"/>
    <cellStyle name="Normal 6 3 2 3 2" xfId="464" xr:uid="{F21DA26F-44FA-4ED1-B1A7-49F9700D6820}"/>
    <cellStyle name="Normal 6 3 2 4" xfId="461" xr:uid="{99B09128-659C-429E-BD1E-D24028BBA987}"/>
    <cellStyle name="Normal 6 3 3" xfId="297" xr:uid="{8DD688E1-F9EC-4EF5-9521-EB3EED3823DB}"/>
    <cellStyle name="Normal 6 3 3 2" xfId="320" xr:uid="{C52F84F6-AEF2-4F9B-8B71-077DCEAB7DA8}"/>
    <cellStyle name="Normal 6 3 3 2 2" xfId="466" xr:uid="{5442D98E-EB91-42D3-BAD3-5C54A3441B4B}"/>
    <cellStyle name="Normal 6 3 3 3" xfId="465" xr:uid="{8C983360-AACD-43C9-BAE5-C156F420A838}"/>
    <cellStyle name="Normal 6 3 4" xfId="317" xr:uid="{85DDA27F-3C1B-41FF-A739-CA494BA00C41}"/>
    <cellStyle name="Normal 6 3 4 2" xfId="467" xr:uid="{D14D5261-18BA-466E-B960-B7AFCC4F5B8E}"/>
    <cellStyle name="Normal 6 3 5" xfId="460" xr:uid="{C323CA8F-97FD-44D4-BAF1-120F520FC155}"/>
    <cellStyle name="Normal 6 4" xfId="284" xr:uid="{3067D7AC-AE22-4E44-ADF4-FB822E92F059}"/>
    <cellStyle name="Normal 6 4 2" xfId="299" xr:uid="{735131BD-90C2-4F77-B0B3-0819565F53F0}"/>
    <cellStyle name="Normal 6 4 2 2" xfId="322" xr:uid="{289C5A3C-53B1-4F93-9773-89D2BA685C5D}"/>
    <cellStyle name="Normal 6 4 2 2 2" xfId="470" xr:uid="{A2AF48C2-38BA-4A3F-A5DC-7738B7880CD4}"/>
    <cellStyle name="Normal 6 4 2 3" xfId="469" xr:uid="{6A20F511-FD5A-4636-B8C1-74AE06193853}"/>
    <cellStyle name="Normal 6 4 3" xfId="321" xr:uid="{5EBE9F12-BCB0-4575-BA32-4EDB2416ACCB}"/>
    <cellStyle name="Normal 6 4 3 2" xfId="471" xr:uid="{B90A451B-059C-4F57-9D55-C8B554639DC5}"/>
    <cellStyle name="Normal 6 4 4" xfId="468" xr:uid="{28436EC1-3353-4D0B-9871-A2361FC3B802}"/>
    <cellStyle name="Normal 6 5" xfId="294" xr:uid="{F18A623D-D0C8-445D-98A3-98757FDE0618}"/>
    <cellStyle name="Normal 6 5 2" xfId="323" xr:uid="{D5664F80-00B8-46A7-9452-4EFA9F74BEF8}"/>
    <cellStyle name="Normal 6 5 2 2" xfId="473" xr:uid="{272FABD1-51D9-4977-ACBD-599D90DFC796}"/>
    <cellStyle name="Normal 6 5 3" xfId="472" xr:uid="{1610612D-124D-4B8D-9989-EDCA94905A33}"/>
    <cellStyle name="Normal 6 6" xfId="312" xr:uid="{71DA8591-6328-4275-88A6-D1E48CA45FF9}"/>
    <cellStyle name="Normal 6 6 2" xfId="474" xr:uid="{F3C015E6-E089-4F9A-80C7-1B95F4ACC99D}"/>
    <cellStyle name="Normal 6 7" xfId="349" xr:uid="{7816584C-A970-4986-84B1-5C479ED62DAA}"/>
    <cellStyle name="Normal 6 7 2" xfId="475" xr:uid="{BAF6DDAB-5ACA-4432-A80D-B1D4BE35F3D8}"/>
    <cellStyle name="Normal 6 8" xfId="385" xr:uid="{0B8FBBCE-D0F8-40A8-AD4B-1EE045FF4055}"/>
    <cellStyle name="Normal 6 8 2" xfId="476" xr:uid="{E1FB8430-9631-4CF3-B0E9-231A43A9B9F6}"/>
    <cellStyle name="Normal 6 9" xfId="388" xr:uid="{2B1B43DF-6904-45B0-BABC-93DCA468B375}"/>
    <cellStyle name="Normal 6 9 2" xfId="477" xr:uid="{42691A74-D635-4587-9267-35378AB6B67F}"/>
    <cellStyle name="Normal 7" xfId="36" xr:uid="{BC17148A-DD34-46C0-A633-4BD55B2CEE35}"/>
    <cellStyle name="Normal 7 2" xfId="281" xr:uid="{30352D65-B1C2-48BA-8684-9A58B9F51082}"/>
    <cellStyle name="Normal 7 2 2" xfId="288" xr:uid="{D45331D6-AD43-42E8-9E59-78EF320DE374}"/>
    <cellStyle name="Normal 7 2 2 2" xfId="302" xr:uid="{8B10A506-9428-4E2B-B402-B04BB65933E1}"/>
    <cellStyle name="Normal 7 2 2 2 2" xfId="327" xr:uid="{FBB05A28-CBFC-414E-B015-A01AA91BFB1A}"/>
    <cellStyle name="Normal 7 2 2 2 2 2" xfId="482" xr:uid="{E7EC1A3B-3386-415C-AF4B-D74F2A363507}"/>
    <cellStyle name="Normal 7 2 2 2 3" xfId="481" xr:uid="{4A8D46CA-95B8-409A-BE50-85A5DABDC774}"/>
    <cellStyle name="Normal 7 2 2 3" xfId="326" xr:uid="{7CC36CBC-677C-4625-A94F-DB4DDA2FE0FD}"/>
    <cellStyle name="Normal 7 2 2 3 2" xfId="483" xr:uid="{41798053-C414-4087-A913-4A1079BFD0D7}"/>
    <cellStyle name="Normal 7 2 2 4" xfId="480" xr:uid="{727DE308-37CF-44FD-BB55-76A3F37673C6}"/>
    <cellStyle name="Normal 7 2 3" xfId="301" xr:uid="{937C7B17-6962-49EE-8EE4-C07E90DED717}"/>
    <cellStyle name="Normal 7 2 3 2" xfId="328" xr:uid="{E9891FC6-9E27-409C-8EAF-B414D2D61B2D}"/>
    <cellStyle name="Normal 7 2 3 2 2" xfId="485" xr:uid="{3858842E-D455-47D1-8A18-8D1ECDDA0D4E}"/>
    <cellStyle name="Normal 7 2 3 3" xfId="484" xr:uid="{FBB2DDAC-49EB-484E-AB06-8A83D3804600}"/>
    <cellStyle name="Normal 7 2 4" xfId="325" xr:uid="{E6BC83F6-B08D-4EEF-AF12-0A20D04450B7}"/>
    <cellStyle name="Normal 7 2 4 2" xfId="486" xr:uid="{6F21360B-5ABB-4895-8C81-0915CF3DC468}"/>
    <cellStyle name="Normal 7 2 5" xfId="417" xr:uid="{6DE62900-0E25-4DAA-BBBD-4C51C02A33DF}"/>
    <cellStyle name="Normal 7 2 5 2" xfId="487" xr:uid="{5F910B97-D7B3-4932-9AA8-B8121FFCFF97}"/>
    <cellStyle name="Normal 7 2 6" xfId="479" xr:uid="{5B7CD90A-4401-493D-A624-E65237BE44D9}"/>
    <cellStyle name="Normal 7 3" xfId="285" xr:uid="{E5402996-32C6-4749-B3A3-2F696C942143}"/>
    <cellStyle name="Normal 7 3 2" xfId="303" xr:uid="{868B3245-F812-48E7-B5F5-085113751B97}"/>
    <cellStyle name="Normal 7 3 2 2" xfId="330" xr:uid="{1F1B6CE0-3684-4B29-977C-8B79198BF86B}"/>
    <cellStyle name="Normal 7 3 2 2 2" xfId="490" xr:uid="{876117A5-A020-483E-8B54-BA4E0CA8AED9}"/>
    <cellStyle name="Normal 7 3 2 3" xfId="489" xr:uid="{51B06525-50F2-4250-ABCD-63BD4FA06ADD}"/>
    <cellStyle name="Normal 7 3 3" xfId="329" xr:uid="{338D4F86-381C-4EC4-A476-3B25D7C6C11F}"/>
    <cellStyle name="Normal 7 3 3 2" xfId="491" xr:uid="{D149FC78-D3D1-4E68-B1B4-5376E9E88B0B}"/>
    <cellStyle name="Normal 7 3 4" xfId="488" xr:uid="{29609900-4641-4E03-9280-EBA382F0778C}"/>
    <cellStyle name="Normal 7 4" xfId="300" xr:uid="{D9AF02CF-4559-4DCE-BAB4-94DBEF672F14}"/>
    <cellStyle name="Normal 7 4 2" xfId="331" xr:uid="{CE0A99C1-59D6-4410-882E-F10F6EAC6A7E}"/>
    <cellStyle name="Normal 7 4 2 2" xfId="493" xr:uid="{9A931B31-43F5-4356-B71F-E7AAFCEC86E9}"/>
    <cellStyle name="Normal 7 4 3" xfId="492" xr:uid="{6A7F5480-3FB2-48BB-9D6A-665A0066B165}"/>
    <cellStyle name="Normal 7 5" xfId="324" xr:uid="{C49C2861-AA3C-4796-805C-0A498E938909}"/>
    <cellStyle name="Normal 7 5 2" xfId="494" xr:uid="{369A776C-D371-4721-A41C-4EC1A4AE2AF4}"/>
    <cellStyle name="Normal 7 6" xfId="337" xr:uid="{A908A717-F372-4A9E-A2E6-4F300FE140DD}"/>
    <cellStyle name="Normal 7 7" xfId="478" xr:uid="{085691F7-4C15-44F7-AEB7-8164B645C918}"/>
    <cellStyle name="Normal 7 8" xfId="278" xr:uid="{CCA9CE05-1B0E-43C0-9CA6-1454236D310A}"/>
    <cellStyle name="Normal 8" xfId="225" xr:uid="{E9A4F167-FFBE-4B42-AF80-6F2FCBC8B7C0}"/>
    <cellStyle name="Normal 8 2" xfId="419" xr:uid="{72704141-2867-4BB4-851E-54162888BCD6}"/>
    <cellStyle name="Normal 8 3" xfId="418" xr:uid="{7ADCC70C-08EA-40C9-AE1B-37B250187E29}"/>
    <cellStyle name="Normal 9" xfId="332" xr:uid="{BDDA3D23-9239-427F-9139-109CAD65A90F}"/>
    <cellStyle name="Normal 9 2" xfId="495" xr:uid="{AD023C5C-6DFB-4202-966F-5E6583BC871F}"/>
    <cellStyle name="Normal GHG Numbers (0.00)" xfId="144" xr:uid="{AC434A67-E6D5-4820-9EA6-EE533B049020}"/>
    <cellStyle name="Normal GHG Numbers (0.00) 2" xfId="145" xr:uid="{0258FC48-423C-45EF-ADAA-DC8BBE5785D6}"/>
    <cellStyle name="Normal GHG Numbers (0.00) 3" xfId="146" xr:uid="{A768626E-0A0D-4D97-9FA6-511213B21191}"/>
    <cellStyle name="Normal GHG Numbers (0.00) 3 2" xfId="420" xr:uid="{4BEAA251-C547-4B52-813E-35E89A72A760}"/>
    <cellStyle name="Normal GHG Numbers (0.00) 3 2 2" xfId="569" xr:uid="{3980684B-DF08-4ECC-A022-65DCE76A72EC}"/>
    <cellStyle name="Normal GHG Numbers (0.00) 3 2 2 2" xfId="1244" xr:uid="{504D06A6-D6D4-428B-975C-8A5321898E80}"/>
    <cellStyle name="Normal GHG Numbers (0.00) 3 2 2 2 2" xfId="718" xr:uid="{70A9C13F-4692-4C90-AAEA-2731DD563C85}"/>
    <cellStyle name="Normal GHG Numbers (0.00) 3 2 2 3" xfId="1030" xr:uid="{125F6557-AC24-49EB-A11C-A66FCF20DF24}"/>
    <cellStyle name="Normal GHG Numbers (0.00) 3 2 2 4" xfId="1444" xr:uid="{01DDCED8-E03F-46EF-B265-F53B56D9723D}"/>
    <cellStyle name="Normal GHG Numbers (0.00) 3 2 3" xfId="1170" xr:uid="{A7CD46B2-F164-45EB-B5AF-33A9B1762DF2}"/>
    <cellStyle name="Normal GHG Numbers (0.00) 3 2 3 2" xfId="1372" xr:uid="{FB2D2289-99BF-4141-B46F-CBF607222DDF}"/>
    <cellStyle name="Normal GHG Numbers (0.00) 3 3" xfId="350" xr:uid="{5BF010BD-1346-4EB2-9F45-24047147B163}"/>
    <cellStyle name="Normal GHG Numbers (0.00) 3 3 2" xfId="628" xr:uid="{FA181173-ED3E-4A59-B2D6-4E9BBEB7650C}"/>
    <cellStyle name="Normal GHG Numbers (0.00) 3 3 2 2" xfId="1303" xr:uid="{C100ED93-954A-4B68-8FC2-62041011548B}"/>
    <cellStyle name="Normal GHG Numbers (0.00) 3 3 2 2 2" xfId="891" xr:uid="{32250014-4D6E-4C4D-B6CE-0526CC49C316}"/>
    <cellStyle name="Normal GHG Numbers (0.00) 3 3 2 3" xfId="1089" xr:uid="{C01C3627-877A-4FB3-A114-C2A37D6C4A1A}"/>
    <cellStyle name="Normal GHG Numbers (0.00) 3 3 2 4" xfId="1535" xr:uid="{B2BBB87D-0C29-45F7-9C31-090C9B5ADECE}"/>
    <cellStyle name="Normal GHG Numbers (0.00) 3 3 3" xfId="525" xr:uid="{62162317-CE34-437C-B1B1-6F3093C7C4E0}"/>
    <cellStyle name="Normal GHG Numbers (0.00) 3 3 3 2" xfId="1200" xr:uid="{E5B9AE05-F97F-467D-8344-14D882BC3038}"/>
    <cellStyle name="Normal GHG Numbers (0.00) 3 3 3 2 2" xfId="860" xr:uid="{321D26A6-A1B6-4E55-B9B6-9FC498FBB317}"/>
    <cellStyle name="Normal GHG Numbers (0.00) 3 3 3 3" xfId="986" xr:uid="{C66AFAD8-7D59-4112-AC1E-BF0DFD9A13EE}"/>
    <cellStyle name="Normal GHG Numbers (0.00) 3 3 3 4" xfId="1385" xr:uid="{4B0A6F1A-3330-4175-9D22-D7F4F7351D89}"/>
    <cellStyle name="Normal GHG Numbers (0.00) 3 3 4" xfId="658" xr:uid="{F89DD100-4879-4E71-A297-CE7D4B847404}"/>
    <cellStyle name="Normal GHG Numbers (0.00) 3 3 4 2" xfId="1333" xr:uid="{383C9506-ADF0-48AD-963F-CF56FCDFCD49}"/>
    <cellStyle name="Normal GHG Numbers (0.00) 3 3 4 2 2" xfId="892" xr:uid="{02390607-7554-4E2B-83B9-D71354AC8BD3}"/>
    <cellStyle name="Normal GHG Numbers (0.00) 3 3 4 3" xfId="1119" xr:uid="{7A7DBC03-35B7-4758-99FB-BE6AD18C3FF2}"/>
    <cellStyle name="Normal GHG Numbers (0.00) 3 3 4 4" xfId="1423" xr:uid="{E6A32CA3-E25F-4CCB-A36B-F139ADE58905}"/>
    <cellStyle name="Normal GHG Numbers (0.00) 3 3 5" xfId="879" xr:uid="{0AF8E54E-44AE-4DEA-9C18-038D57634D5C}"/>
    <cellStyle name="Normal GHG Numbers (0.00) 3 3 6" xfId="1397" xr:uid="{B0469916-C214-4AF9-80BF-98156811F8E1}"/>
    <cellStyle name="Normal GHG Numbers (0.00) 3 4" xfId="765" xr:uid="{EC8CB0F8-B555-4433-AC7E-73E814229F2F}"/>
    <cellStyle name="Normal GHG Numbers (0.00) 3 4 2" xfId="1365" xr:uid="{D095A362-182E-4D35-ABE6-AE7BB240F7E9}"/>
    <cellStyle name="Normal GHG Textfiels Bold" xfId="7" xr:uid="{ED9FB5D3-3B50-4FDE-A098-3CF8B68CE877}"/>
    <cellStyle name="Normal GHG Textfiels Bold 2" xfId="147" xr:uid="{EB723A13-5C42-4FC1-BDBD-E767E0781598}"/>
    <cellStyle name="Normal GHG Textfiels Bold 3" xfId="148" xr:uid="{472EE725-9205-4759-833D-7E83BF24F995}"/>
    <cellStyle name="Normal GHG Textfiels Bold 3 2" xfId="421" xr:uid="{71D5EE4D-3926-45DA-AF3B-D34ABF256E0B}"/>
    <cellStyle name="Normal GHG Textfiels Bold 3 2 2" xfId="513" xr:uid="{9328A440-DBB4-49B8-8AC6-4C7D0948C6B8}"/>
    <cellStyle name="Normal GHG Textfiels Bold 3 2 2 2" xfId="1188" xr:uid="{AD7900BC-736F-4ECA-96FB-A394EE3A22E5}"/>
    <cellStyle name="Normal GHG Textfiels Bold 3 2 2 2 2" xfId="858" xr:uid="{5918B618-E359-44A1-AEE3-EDF959C31AC1}"/>
    <cellStyle name="Normal GHG Textfiels Bold 3 2 2 3" xfId="974" xr:uid="{C09BA687-BA5C-4360-91BC-3046A077F91A}"/>
    <cellStyle name="Normal GHG Textfiels Bold 3 2 2 4" xfId="1380" xr:uid="{A68195F4-4111-4E7B-9D1E-73236A84603A}"/>
    <cellStyle name="Normal GHG Textfiels Bold 3 2 3" xfId="1171" xr:uid="{E8E05FF9-1C6F-40A9-BDFD-5FE919EDDB52}"/>
    <cellStyle name="Normal GHG Textfiels Bold 3 2 3 2" xfId="809" xr:uid="{3C635419-168A-40BB-B1A0-73E6C354D015}"/>
    <cellStyle name="Normal GHG Textfiels Bold 3 3" xfId="351" xr:uid="{AA8BFCE2-9775-4C71-A4E4-9C2D110EBF8E}"/>
    <cellStyle name="Normal GHG Textfiels Bold 3 3 2" xfId="629" xr:uid="{9AE529B0-0CB0-487B-9F26-B01D20C99C85}"/>
    <cellStyle name="Normal GHG Textfiels Bold 3 3 2 2" xfId="1304" xr:uid="{B5E6ECE0-85F8-451D-869C-0A1CD13011D7}"/>
    <cellStyle name="Normal GHG Textfiels Bold 3 3 2 2 2" xfId="951" xr:uid="{0A11839C-54AC-414A-BAB6-0C00C880350A}"/>
    <cellStyle name="Normal GHG Textfiels Bold 3 3 2 3" xfId="1090" xr:uid="{8D4A4DD0-DA0B-4F6B-8CEB-613599C44DC9}"/>
    <cellStyle name="Normal GHG Textfiels Bold 3 3 2 4" xfId="1434" xr:uid="{CA332FAB-6707-4A9A-A2CA-8EC0EC45F518}"/>
    <cellStyle name="Normal GHG Textfiels Bold 3 3 3" xfId="572" xr:uid="{E0FD43E1-1308-48D3-B7CF-5ABB85AD924E}"/>
    <cellStyle name="Normal GHG Textfiels Bold 3 3 3 2" xfId="1247" xr:uid="{F9C5030A-58E7-4FFB-8E97-3C3195EB6C20}"/>
    <cellStyle name="Normal GHG Textfiels Bold 3 3 3 2 2" xfId="782" xr:uid="{06E7F820-5472-4C80-9620-1689D47D0CAF}"/>
    <cellStyle name="Normal GHG Textfiels Bold 3 3 3 3" xfId="1033" xr:uid="{6D0629DF-031F-474B-B532-C7DD68BCAA39}"/>
    <cellStyle name="Normal GHG Textfiels Bold 3 3 3 4" xfId="1522" xr:uid="{D772C15F-DDBA-40CC-8F2F-BAFEFA484AC8}"/>
    <cellStyle name="Normal GHG Textfiels Bold 3 3 4" xfId="547" xr:uid="{041DCD7D-CD7B-4826-B78B-0D090B4A01C4}"/>
    <cellStyle name="Normal GHG Textfiels Bold 3 3 4 2" xfId="1222" xr:uid="{CEA5B696-FA23-4BD8-823E-53D48B5EC67B}"/>
    <cellStyle name="Normal GHG Textfiels Bold 3 3 4 2 2" xfId="842" xr:uid="{66081439-7913-4A4B-ADD5-8D097CCDC416}"/>
    <cellStyle name="Normal GHG Textfiels Bold 3 3 4 3" xfId="1008" xr:uid="{8C183B20-22A5-4244-ABE4-A5F54711A518}"/>
    <cellStyle name="Normal GHG Textfiels Bold 3 3 4 4" xfId="1378" xr:uid="{82A0D3B0-19CB-4FDE-8E65-5E539969A3A1}"/>
    <cellStyle name="Normal GHG Textfiels Bold 3 3 5" xfId="880" xr:uid="{411BFB03-A578-4189-B590-7B1200D8C189}"/>
    <cellStyle name="Normal GHG Textfiels Bold 3 3 6" xfId="1498" xr:uid="{CFA53F0F-389F-4A14-8EDE-9D449F89E391}"/>
    <cellStyle name="Normal GHG whole table" xfId="15" xr:uid="{61743DF2-A30D-473C-AEDC-37469A41C443}"/>
    <cellStyle name="Normal GHG whole table 2" xfId="422" xr:uid="{FE553293-F602-4198-A7DD-991BF1888279}"/>
    <cellStyle name="Normal GHG whole table 2 2" xfId="568" xr:uid="{E275EC29-4EAB-4462-BA34-5BE14F176F27}"/>
    <cellStyle name="Normal GHG whole table 2 2 2" xfId="1243" xr:uid="{4B42506D-7630-4BF4-96D9-6E928F6E5B22}"/>
    <cellStyle name="Normal GHG whole table 2 2 2 2" xfId="677" xr:uid="{ADA589A6-B8A9-4AFB-8DD7-2AB6486C38EE}"/>
    <cellStyle name="Normal GHG whole table 2 2 3" xfId="1029" xr:uid="{58D80FEC-B137-4971-A71E-A10E7054E21A}"/>
    <cellStyle name="Normal GHG whole table 2 2 4" xfId="871" xr:uid="{34C09A15-3D22-4055-A1B4-E5DEFA78C90F}"/>
    <cellStyle name="Normal GHG whole table 2 3" xfId="1172" xr:uid="{E60672A1-5D75-40DB-9ABE-B208738101CE}"/>
    <cellStyle name="Normal GHG whole table 2 3 2" xfId="1534" xr:uid="{379BD57A-4A23-4C39-9A36-C90FCFC42173}"/>
    <cellStyle name="Normal GHG whole table 3" xfId="271" xr:uid="{B77C38D1-836F-4119-BB84-CD043D7A25B9}"/>
    <cellStyle name="Normal GHG whole table 3 2" xfId="608" xr:uid="{C34FBAC3-71BE-4A51-A312-CF562668C4E9}"/>
    <cellStyle name="Normal GHG whole table 3 2 2" xfId="1283" xr:uid="{7FA854F4-C24A-45CC-B560-DED43885758B}"/>
    <cellStyle name="Normal GHG whole table 3 2 2 2" xfId="949" xr:uid="{A270470B-B6A9-497D-BAB0-D4569F421355}"/>
    <cellStyle name="Normal GHG whole table 3 2 3" xfId="1069" xr:uid="{937FEA3B-AE05-4B64-B6E0-AF68168C5749}"/>
    <cellStyle name="Normal GHG whole table 3 2 4" xfId="1382" xr:uid="{EB58439F-77E4-43D5-A549-228ECF2FA506}"/>
    <cellStyle name="Normal GHG whole table 3 3" xfId="529" xr:uid="{8F24D7D8-F610-4C56-9661-80D84E0BC009}"/>
    <cellStyle name="Normal GHG whole table 3 3 2" xfId="1204" xr:uid="{2C622F97-B9FD-45DE-8A5C-A883BB0EAF76}"/>
    <cellStyle name="Normal GHG whole table 3 3 2 2" xfId="785" xr:uid="{E67CC08D-29C5-499F-A9FE-52FF7547CC05}"/>
    <cellStyle name="Normal GHG whole table 3 3 3" xfId="990" xr:uid="{227C1D4A-5E62-4F00-BBAB-04862523C550}"/>
    <cellStyle name="Normal GHG whole table 3 3 4" xfId="1412" xr:uid="{48A47F6E-39E8-46C1-B5FA-444CC0701D01}"/>
    <cellStyle name="Normal GHG whole table 3 4" xfId="616" xr:uid="{CDE370DB-F2AB-4CC5-B3AA-EE8F70752B48}"/>
    <cellStyle name="Normal GHG whole table 3 4 2" xfId="1291" xr:uid="{FDA5058E-60BC-408C-841F-58D6BD67CA43}"/>
    <cellStyle name="Normal GHG whole table 3 4 2 2" xfId="721" xr:uid="{F545DE22-E7A5-4AF8-A8C9-D98CD5D74372}"/>
    <cellStyle name="Normal GHG whole table 3 4 3" xfId="1077" xr:uid="{14FA0CC3-573C-4112-AA21-07258CDFC844}"/>
    <cellStyle name="Normal GHG whole table 3 4 4" xfId="868" xr:uid="{247F47FE-ADE0-46E5-8704-20B4B8524066}"/>
    <cellStyle name="Normal GHG whole table 3 5" xfId="833" xr:uid="{7BA6ACA5-E8D8-4157-84DF-6BBFD2CCAED9}"/>
    <cellStyle name="Normal GHG whole table 3 6" xfId="1349" xr:uid="{6459707F-FB15-4083-9E76-130E18DA1A87}"/>
    <cellStyle name="Normal GHG whole table 4" xfId="702" xr:uid="{6F0A4711-AA28-4374-A669-2A3783A99A04}"/>
    <cellStyle name="Normal GHG whole table 4 2" xfId="1516" xr:uid="{39B1F96E-26B9-4B8B-BF4A-E5048B8937D5}"/>
    <cellStyle name="Normal GHG-Shade" xfId="13" xr:uid="{1AE1E8BA-15D9-4891-A0C3-A3DC2B01D3AD}"/>
    <cellStyle name="Normal GHG-Shade 2" xfId="149" xr:uid="{75FB04E2-1B77-4BF0-93BB-69202ED351D9}"/>
    <cellStyle name="Normal GHG-Shade 2 2" xfId="150" xr:uid="{35238938-0C12-454A-888C-67CE78B1DC47}"/>
    <cellStyle name="Normal GHG-Shade 2 3" xfId="151" xr:uid="{F4FDF145-298F-4C62-AABD-3DF07F93BFD0}"/>
    <cellStyle name="Normal GHG-Shade 2 4" xfId="184" xr:uid="{0E7C0C8E-DF94-406C-B50D-D0E9BE767865}"/>
    <cellStyle name="Normal GHG-Shade 2 5" xfId="352" xr:uid="{4E5FA381-A9B0-462A-BF63-BC2135D007C8}"/>
    <cellStyle name="Normal GHG-Shade 3" xfId="152" xr:uid="{7E5F8BA4-5CE6-4C59-BB37-553A7C0CCFFA}"/>
    <cellStyle name="Normal GHG-Shade 3 2" xfId="153" xr:uid="{DC50E69C-2541-4626-9543-E5C2A2E4BD75}"/>
    <cellStyle name="Normal GHG-Shade 4" xfId="154" xr:uid="{2D26D91F-70AD-416C-8F71-FDFA157E8E9C}"/>
    <cellStyle name="Normal GHG-Shade 4 2" xfId="423" xr:uid="{086350F6-256C-40CE-AB55-10C5B5F2262B}"/>
    <cellStyle name="Normál_Munka1" xfId="28" xr:uid="{178EC620-1955-4241-9453-AA0CDE86D750}"/>
    <cellStyle name="Note 2" xfId="155" xr:uid="{A9FEF13F-ECAB-4C78-AC52-480C9A564BB9}"/>
    <cellStyle name="Note 2 2" xfId="551" xr:uid="{4258E4A7-5603-4E76-88FF-A915F156416A}"/>
    <cellStyle name="Note 2 2 2" xfId="1226" xr:uid="{147A8966-AF57-4B28-AC8C-353F5AAE0F3E}"/>
    <cellStyle name="Note 2 2 2 2" xfId="852" xr:uid="{BF31FEA7-C508-4527-ABF2-2F0CD9B2DDEF}"/>
    <cellStyle name="Note 2 2 3" xfId="1012" xr:uid="{2AB59AAF-B2C5-4000-A758-ED0F49DF22C1}"/>
    <cellStyle name="Note 2 2 4" xfId="1515" xr:uid="{F4E78B37-24FC-400C-8EFE-52E27517F768}"/>
    <cellStyle name="Note 2 3" xfId="615" xr:uid="{EA3B4408-1FDE-42A0-BCD3-96326C0C59F9}"/>
    <cellStyle name="Note 2 3 2" xfId="1290" xr:uid="{BD172AEE-8DDF-469D-BBCF-5901C850F9A2}"/>
    <cellStyle name="Note 2 3 2 2" xfId="744" xr:uid="{81F260DB-7D96-473A-B9C0-550188817342}"/>
    <cellStyle name="Note 2 3 3" xfId="1076" xr:uid="{4EA2A8E1-6459-4F68-8164-3F6C1DBB29A5}"/>
    <cellStyle name="Note 2 3 4" xfId="776" xr:uid="{7663EC49-64DD-49DB-AC62-CBB83EA2A352}"/>
    <cellStyle name="Note 2 4" xfId="510" xr:uid="{0E8CF0F2-6852-4D1F-BFF5-DD68BED1C227}"/>
    <cellStyle name="Note 2 4 2" xfId="1185" xr:uid="{8790D240-E37F-4B67-B35A-6067F2374B97}"/>
    <cellStyle name="Note 2 4 2 2" xfId="700" xr:uid="{4180C8E6-B476-4F33-A7E4-A44CA4BB5204}"/>
    <cellStyle name="Note 2 4 3" xfId="971" xr:uid="{C140962D-414F-400F-933D-660D0C049422}"/>
    <cellStyle name="Note 2 4 4" xfId="1517" xr:uid="{4A88924C-CCD2-4B6E-A4E1-6A032374B8BE}"/>
    <cellStyle name="Note 2 5" xfId="1134" xr:uid="{F6B40B7F-0132-400C-8180-300463EE8739}"/>
    <cellStyle name="Note 2 5 2" xfId="1533" xr:uid="{A0C8FFCF-52F4-4E3F-8A93-69D43C3857E0}"/>
    <cellStyle name="Note 2 6" xfId="766" xr:uid="{CC4B5735-4308-40EC-A768-E512F46D4752}"/>
    <cellStyle name="Note 2 7" xfId="1363" xr:uid="{F7BD0D81-C070-429A-873C-15F496F342FA}"/>
    <cellStyle name="Note 3" xfId="226" xr:uid="{8FD199AA-BFA8-450B-87D2-5E8C71B7EA19}"/>
    <cellStyle name="Note 3 2" xfId="579" xr:uid="{D59589CC-F163-4C05-BD6C-C5EE959BEA70}"/>
    <cellStyle name="Note 3 2 2" xfId="1254" xr:uid="{75416D79-000B-4ED8-A344-8C372390A49F}"/>
    <cellStyle name="Note 3 2 2 2" xfId="1394" xr:uid="{1F72D8DB-7AD1-4B68-82D0-721E34D63D9F}"/>
    <cellStyle name="Note 3 2 3" xfId="1040" xr:uid="{7297A515-1FFE-4F3D-94B1-54A2B57465AD}"/>
    <cellStyle name="Note 3 2 4" xfId="881" xr:uid="{96AB6ECD-6997-458A-9353-A859AB02921D}"/>
    <cellStyle name="Note 3 3" xfId="545" xr:uid="{D22BDE06-B4C4-4F0E-B3E8-5442A2A16B94}"/>
    <cellStyle name="Note 3 3 2" xfId="1220" xr:uid="{C3C061EB-40B3-4ACD-8477-1E8E20143CEA}"/>
    <cellStyle name="Note 3 3 2 2" xfId="929" xr:uid="{5CCFF5DA-BE2B-4425-8FFC-B408F310069A}"/>
    <cellStyle name="Note 3 3 3" xfId="1006" xr:uid="{6995E573-5A64-472E-86A3-F89E44742FDE}"/>
    <cellStyle name="Note 3 3 4" xfId="1430" xr:uid="{FB0C3D15-3AE7-463F-83BE-805385AFD03D}"/>
    <cellStyle name="Note 3 4" xfId="563" xr:uid="{899E2A4D-FD72-4770-B021-FEE1ECD6AD98}"/>
    <cellStyle name="Note 3 4 2" xfId="1238" xr:uid="{8EDC0167-1367-45F8-B6E2-44D71FA33779}"/>
    <cellStyle name="Note 3 4 2 2" xfId="717" xr:uid="{A9671993-3667-414D-ADF2-7748B0C06ADF}"/>
    <cellStyle name="Note 3 4 3" xfId="1024" xr:uid="{3F671A52-CED8-4FA7-A0F4-7A29C0DD390C}"/>
    <cellStyle name="Note 3 4 4" xfId="764" xr:uid="{517E8E58-F241-46A5-B387-D18901719197}"/>
    <cellStyle name="Note 3 5" xfId="1140" xr:uid="{496F3A02-E7DA-40CA-A53B-C5E0F4CC9952}"/>
    <cellStyle name="Note 3 5 2" xfId="909" xr:uid="{F32287D8-26F5-4415-A4EF-638D93BFBA5F}"/>
    <cellStyle name="Note 3 6" xfId="802" xr:uid="{9772E8A8-02C4-43A6-BB02-48849DD38AA4}"/>
    <cellStyle name="Note 3 7" xfId="1361" xr:uid="{4F436359-2B39-4FBB-BE4F-8F69CD9C060E}"/>
    <cellStyle name="Notiz" xfId="156" xr:uid="{80912AF0-3DC0-44F8-818B-8EBA3E660878}"/>
    <cellStyle name="Notiz 2" xfId="552" xr:uid="{E9BD3FC4-F3E2-41C3-8771-D128EFAF5F42}"/>
    <cellStyle name="Notiz 2 2" xfId="1227" xr:uid="{6A9C3CF0-363B-4A4D-AFBB-7D5C790E58AA}"/>
    <cellStyle name="Notiz 2 2 2" xfId="757" xr:uid="{3ED96800-5E4C-4726-8359-7DA8BFBAC917}"/>
    <cellStyle name="Notiz 2 3" xfId="1013" xr:uid="{3FDE0D2F-6719-44C8-B11D-1AF271B2A8B9}"/>
    <cellStyle name="Notiz 2 4" xfId="1413" xr:uid="{C39B1C3E-240D-4BC7-B27A-49C41F644FD3}"/>
    <cellStyle name="Notiz 3" xfId="614" xr:uid="{62277E78-7404-4302-B24F-34C64216D225}"/>
    <cellStyle name="Notiz 3 2" xfId="1289" xr:uid="{E1C8D77E-A18D-4FD7-B8A1-D05F3DF029E2}"/>
    <cellStyle name="Notiz 3 2 2" xfId="848" xr:uid="{A7A6E839-71A9-4FB7-BC6D-C127C1B79F01}"/>
    <cellStyle name="Notiz 3 3" xfId="1075" xr:uid="{49185177-A779-4A38-82C2-51E9C3BBB8EB}"/>
    <cellStyle name="Notiz 3 4" xfId="806" xr:uid="{5DC55869-893E-4875-A2CF-61269F624546}"/>
    <cellStyle name="Notiz 4" xfId="583" xr:uid="{DC3468D3-5C5B-454D-AD38-D9698A36707E}"/>
    <cellStyle name="Notiz 4 2" xfId="1258" xr:uid="{8A0F972C-0681-4B7E-9AD6-FE4E0D373C3D}"/>
    <cellStyle name="Notiz 4 2 2" xfId="714" xr:uid="{2A5C338A-1076-491A-8F24-186276221DA2}"/>
    <cellStyle name="Notiz 4 3" xfId="1044" xr:uid="{4812B9B3-9C75-425B-A2B3-E79EBAB8ADA9}"/>
    <cellStyle name="Notiz 4 4" xfId="1387" xr:uid="{C02F523C-8F2B-4BD5-9E96-E45DC61F6A2B}"/>
    <cellStyle name="Notiz 5" xfId="1135" xr:uid="{E7145D73-3A96-4E71-818D-38F6AAE860A3}"/>
    <cellStyle name="Notiz 5 2" xfId="1432" xr:uid="{1FC089EB-54BF-4151-B040-1172A5B89B56}"/>
    <cellStyle name="Notiz 6" xfId="767" xr:uid="{12B6305D-D06D-427C-BE1F-DAA4A7C34ED0}"/>
    <cellStyle name="Notiz 7" xfId="1364" xr:uid="{5DDC2D5E-FF89-4F19-8F6B-D20EA4A6AC05}"/>
    <cellStyle name="Output 2" xfId="157" xr:uid="{9C935458-0C87-4C31-9D8F-7F7CB684D7FB}"/>
    <cellStyle name="Output 2 2" xfId="553" xr:uid="{BAA87F49-F96B-4943-A8AE-BB0B5B37E708}"/>
    <cellStyle name="Output 2 2 2" xfId="1228" xr:uid="{6425BD6E-B78F-4D78-9311-C14C774EF713}"/>
    <cellStyle name="Output 2 2 2 2" xfId="863" xr:uid="{9A76E452-3638-418B-8ACF-42C4A3640C34}"/>
    <cellStyle name="Output 2 2 3" xfId="1014" xr:uid="{D2C77EA9-5045-4D74-994E-A70FE1D48D76}"/>
    <cellStyle name="Output 2 2 4" xfId="736" xr:uid="{C58D386D-D591-439D-82D6-0954E6FA6D21}"/>
    <cellStyle name="Output 2 3" xfId="649" xr:uid="{248E57B3-5332-43E6-A051-C2C42C8FF4FE}"/>
    <cellStyle name="Output 2 3 2" xfId="1324" xr:uid="{BAE295D9-988F-4454-AC23-DDCEE2C343A3}"/>
    <cellStyle name="Output 2 3 2 2" xfId="723" xr:uid="{56BB4135-9EC0-4300-B32D-97CB4568E0E0}"/>
    <cellStyle name="Output 2 3 3" xfId="1110" xr:uid="{0CFE6BCA-89FC-431D-9D13-11F521210E9E}"/>
    <cellStyle name="Output 2 3 4" xfId="1487" xr:uid="{498FD828-2802-4703-9424-1F032D8A987A}"/>
    <cellStyle name="Output 2 4" xfId="1136" xr:uid="{DE016DF6-9E80-4CC5-8E3C-4B5C037CB63E}"/>
    <cellStyle name="Output 2 4 2" xfId="1529" xr:uid="{A5882ED9-5B02-4A2E-AA41-847D84FC1226}"/>
    <cellStyle name="Output 2 5" xfId="768" xr:uid="{C0A6DB52-196C-4871-B34B-A2FEF33FB07B}"/>
    <cellStyle name="Output 2 6" xfId="777" xr:uid="{4A30B1A1-D101-4674-93A0-AFC2E730B1C7}"/>
    <cellStyle name="Output 3" xfId="227" xr:uid="{E865776D-E8AA-4EE9-8E9D-5BE7CB56DD3A}"/>
    <cellStyle name="Output 3 2" xfId="580" xr:uid="{DA31939A-F53E-4832-A77F-B3B2AD89B7D9}"/>
    <cellStyle name="Output 3 2 2" xfId="1255" xr:uid="{4D25FD97-38E8-40AD-B026-725F14D2878B}"/>
    <cellStyle name="Output 3 2 2 2" xfId="1520" xr:uid="{D87043F9-FD79-454D-9F8A-43D914B2A5DA}"/>
    <cellStyle name="Output 3 2 3" xfId="1041" xr:uid="{761D76A3-9C18-482B-A6AC-D4E982123B4F}"/>
    <cellStyle name="Output 3 2 4" xfId="684" xr:uid="{56EB01AD-62D7-4819-9EEC-8672FAE9CBD2}"/>
    <cellStyle name="Output 3 3" xfId="631" xr:uid="{37E7EB23-B3F2-42EB-B65E-F0BB1833DE73}"/>
    <cellStyle name="Output 3 3 2" xfId="1306" xr:uid="{DF8CDB5B-9DBA-4371-B7D1-BE68064CEADC}"/>
    <cellStyle name="Output 3 3 2 2" xfId="856" xr:uid="{12E55E3C-D0C7-41D3-8D55-D1943A91C782}"/>
    <cellStyle name="Output 3 3 3" xfId="1092" xr:uid="{661C53A8-0E27-422F-91CB-410CBAFB0DC3}"/>
    <cellStyle name="Output 3 3 4" xfId="1426" xr:uid="{D5F42329-1B0A-47B3-BBFC-CC01238EABDC}"/>
    <cellStyle name="Output 3 4" xfId="1141" xr:uid="{CBFC53A7-9279-4D26-B974-B266F0B72E7A}"/>
    <cellStyle name="Output 3 4 2" xfId="1454" xr:uid="{8BD3742D-8063-49DE-837B-1D773F18C22E}"/>
    <cellStyle name="Output 3 5" xfId="803" xr:uid="{C8D5DEF1-1DBA-4479-AD03-CAC181A0686B}"/>
    <cellStyle name="Output 3 6" xfId="894" xr:uid="{18215C3F-E028-4B3A-B92C-EBB8E5B7D0D1}"/>
    <cellStyle name="Pattern" xfId="158" xr:uid="{01D61218-2F74-47CF-A043-3E5F03008F6F}"/>
    <cellStyle name="Pattern 2" xfId="424" xr:uid="{785D882F-0923-45A6-BC90-F452B687A298}"/>
    <cellStyle name="Pattern 2 2" xfId="567" xr:uid="{F3840694-5D9D-48F1-8044-031AAD679E6C}"/>
    <cellStyle name="Pattern 2 2 2" xfId="1242" xr:uid="{8A9E6C1B-136A-4C6E-8685-111E7E8AE47B}"/>
    <cellStyle name="Pattern 2 2 2 2" xfId="939" xr:uid="{DD816D76-EC30-4F1C-862B-F5F8B0D10AB1}"/>
    <cellStyle name="Pattern 2 2 3" xfId="1028" xr:uid="{995B4AC2-B0EE-4FAC-B40F-259D77CDE719}"/>
    <cellStyle name="Pattern 2 2 4" xfId="772" xr:uid="{F9BE92EA-A338-463F-BE59-A19C6B3DF0EE}"/>
    <cellStyle name="Pattern 2 3" xfId="1173" xr:uid="{C372C4F8-3681-4705-8A83-5531D6CBB319}"/>
    <cellStyle name="Pattern 2 3 2" xfId="1433" xr:uid="{9B398144-B896-40BA-A11F-E0F8E6B17C0A}"/>
    <cellStyle name="Pattern 3" xfId="273" xr:uid="{10F71B49-32DF-49E4-9E15-CC7FBC8FF5DD}"/>
    <cellStyle name="Pattern 3 2" xfId="610" xr:uid="{819DB26A-E21D-452C-B877-C9A790C1E013}"/>
    <cellStyle name="Pattern 3 2 2" xfId="1285" xr:uid="{D8F3000B-FB69-4D71-B196-4782F8F7D13D}"/>
    <cellStyle name="Pattern 3 2 2 2" xfId="784" xr:uid="{D4133138-9B4F-44CE-9996-CB834CE4F3B2}"/>
    <cellStyle name="Pattern 3 2 3" xfId="1071" xr:uid="{6FB0E702-5A99-442A-9E1A-F14B23CB701C}"/>
    <cellStyle name="Pattern 3 2 4" xfId="1409" xr:uid="{144EB107-205C-4A38-9557-50687C45AF77}"/>
    <cellStyle name="Pattern 3 3" xfId="509" xr:uid="{4214BB42-99FF-49A3-A2DB-8B239667E50B}"/>
    <cellStyle name="Pattern 3 3 2" xfId="1184" xr:uid="{2869F08A-9D08-4642-A0FA-E30AAC0EC01E}"/>
    <cellStyle name="Pattern 3 3 2 2" xfId="688" xr:uid="{A774B675-DAAC-498C-89AB-247D6DB224E2}"/>
    <cellStyle name="Pattern 3 3 3" xfId="970" xr:uid="{C07DBAB1-964F-4E5C-B33B-7DDFF1211B43}"/>
    <cellStyle name="Pattern 3 3 4" xfId="1376" xr:uid="{316279C4-472A-42B5-BF39-5DAFFAD90868}"/>
    <cellStyle name="Pattern 3 4" xfId="623" xr:uid="{0226FF4C-A00D-4730-97EA-4819A3D32086}"/>
    <cellStyle name="Pattern 3 4 2" xfId="1298" xr:uid="{DB186229-7F09-4C60-9C9C-9E5AA2612575}"/>
    <cellStyle name="Pattern 3 4 2 2" xfId="1417" xr:uid="{B527D68F-5B78-41AB-ACDF-5C55F037893A}"/>
    <cellStyle name="Pattern 3 4 3" xfId="1084" xr:uid="{8E3FC161-D80F-4063-A503-E7BCB871EE29}"/>
    <cellStyle name="Pattern 3 4 4" xfId="906" xr:uid="{6CB13129-7B42-472C-88C4-985175171FF6}"/>
    <cellStyle name="Pattern 3 5" xfId="835" xr:uid="{69DD8198-4CE6-41A0-947E-33D5ED1AE69C}"/>
    <cellStyle name="Pattern 3 6" xfId="732" xr:uid="{B3A965CD-0A22-4F0A-B2F0-4E8CB370C93F}"/>
    <cellStyle name="Percent" xfId="1554" builtinId="5"/>
    <cellStyle name="Percent 2" xfId="159" xr:uid="{25DB5D5D-FF06-46CE-848F-C156D7846602}"/>
    <cellStyle name="Percent 2 2" xfId="425" xr:uid="{57C72250-33F9-41D7-A6B7-E324D62D3495}"/>
    <cellStyle name="RowLevel_1 2" xfId="37" xr:uid="{FD4FCF5C-5719-4DB6-BEB3-FCAF25EDEED6}"/>
    <cellStyle name="Schlecht" xfId="160" xr:uid="{4D5B3A6E-0583-4B7B-A62D-3991F3D716B0}"/>
    <cellStyle name="Shade" xfId="24" xr:uid="{4EED86E3-CD35-4C15-9BCC-FA9CF2F76BCC}"/>
    <cellStyle name="Shade 2" xfId="161" xr:uid="{072F4D1D-F301-487F-87A0-2F28560DA2EE}"/>
    <cellStyle name="Shade 2 2" xfId="427" xr:uid="{F7255BF3-50EB-42A4-A78C-949CF91181D9}"/>
    <cellStyle name="Shade 2 2 2" xfId="512" xr:uid="{2622CF91-3E58-4B8A-A204-94702B1A6062}"/>
    <cellStyle name="Shade 2 2 2 2" xfId="1187" xr:uid="{7FCCACC1-EABA-4399-8164-ADB05B9A82ED}"/>
    <cellStyle name="Shade 2 2 2 2 2" xfId="778" xr:uid="{3E4D1326-574B-40C1-8F40-7A695C570441}"/>
    <cellStyle name="Shade 2 2 2 3" xfId="973" xr:uid="{1E70A928-B163-497F-925C-EF442D2273FA}"/>
    <cellStyle name="Shade 2 2 2 4" xfId="1479" xr:uid="{D1DDDE08-CB0F-4CC6-BD4E-091610BD1C88}"/>
    <cellStyle name="Shade 2 2 3" xfId="1175" xr:uid="{E99372BC-4E18-4DE4-8E10-D189C774A343}"/>
    <cellStyle name="Shade 2 2 3 2" xfId="1436" xr:uid="{244C72B5-E705-4434-B644-D90D14FC793A}"/>
    <cellStyle name="Shade 2 3" xfId="275" xr:uid="{8CC09B8F-885A-4D56-BC37-228CA1481CBE}"/>
    <cellStyle name="Shade 2 3 2" xfId="612" xr:uid="{BE2E08A9-C36E-495F-BBD9-729EC01F2C1A}"/>
    <cellStyle name="Shade 2 3 2 2" xfId="1287" xr:uid="{30EEE3C2-9464-4CC5-B6AC-1BDA07CB6C7C}"/>
    <cellStyle name="Shade 2 3 2 2 2" xfId="743" xr:uid="{7DD163DD-4D12-464F-BCF7-AC65CEF1D8D2}"/>
    <cellStyle name="Shade 2 3 2 3" xfId="1073" xr:uid="{473D19EF-FE17-4E81-8703-5E188A66B6E0}"/>
    <cellStyle name="Shade 2 3 2 4" xfId="685" xr:uid="{86915846-7F3F-4A6D-9254-6ACC1BD410FC}"/>
    <cellStyle name="Shade 2 3 3" xfId="641" xr:uid="{CDEB42A8-30C6-4E30-A557-35402F958AC7}"/>
    <cellStyle name="Shade 2 3 3 2" xfId="1316" xr:uid="{024E8F6C-B1E3-48F3-B083-9A5BC969FD63}"/>
    <cellStyle name="Shade 2 3 3 2 2" xfId="886" xr:uid="{B942C4A5-9C23-48CA-9AD7-447D2D2C6CA5}"/>
    <cellStyle name="Shade 2 3 3 3" xfId="1102" xr:uid="{83F7E6BC-A87F-403C-84E1-FB23BAA58E63}"/>
    <cellStyle name="Shade 2 3 3 4" xfId="773" xr:uid="{DAAA5B58-8FC1-4EBF-90FC-165516B3AAD9}"/>
    <cellStyle name="Shade 2 3 4" xfId="555" xr:uid="{5BFF4479-C8A1-4749-8365-B278FD897844}"/>
    <cellStyle name="Shade 2 3 4 2" xfId="1230" xr:uid="{DCB419A2-2BCD-4D36-BB50-79A6D0032620}"/>
    <cellStyle name="Shade 2 3 4 2 2" xfId="941" xr:uid="{44622249-0B51-4E36-9A48-71F39E71E741}"/>
    <cellStyle name="Shade 2 3 4 3" xfId="1016" xr:uid="{03017B29-EAB0-4D5C-8D5E-C004EAD894AC}"/>
    <cellStyle name="Shade 2 3 4 4" xfId="1471" xr:uid="{8714FB54-B0A0-4E08-BDA1-DA8B68155053}"/>
    <cellStyle name="Shade 2 3 5" xfId="837" xr:uid="{F2D30842-CC8E-45D3-A761-CB5996ED5FB2}"/>
    <cellStyle name="Shade 2 3 6" xfId="791" xr:uid="{D5DC120C-A0CA-421C-BD9B-F01F91A9B36C}"/>
    <cellStyle name="Shade 3" xfId="426" xr:uid="{2DC7E854-22A6-4E2C-BACF-C739D307B78C}"/>
    <cellStyle name="Shade 3 2" xfId="566" xr:uid="{5142E128-CD3B-47E9-9D50-042BBC0F48DC}"/>
    <cellStyle name="Shade 3 2 2" xfId="1241" xr:uid="{39D24B87-12FC-4C97-8406-2E6912D25A70}"/>
    <cellStyle name="Shade 3 2 2 2" xfId="781" xr:uid="{A056A72A-67CE-4878-8723-D25EF9FE2D29}"/>
    <cellStyle name="Shade 3 2 3" xfId="1027" xr:uid="{6E8105C6-1120-40BB-A712-26F5FC1E74F3}"/>
    <cellStyle name="Shade 3 2 4" xfId="927" xr:uid="{2400543A-D22C-4F4D-823A-C91EE4B8C5C1}"/>
    <cellStyle name="Shade 3 3" xfId="1174" xr:uid="{3D9F7BF9-72A6-4035-BA70-7E6E3265A05C}"/>
    <cellStyle name="Shade 3 3 2" xfId="1537" xr:uid="{4EA30F31-15B2-4E1E-93AD-CA18D7E16687}"/>
    <cellStyle name="Shade 4" xfId="274" xr:uid="{4C03A36A-9B46-45F4-935A-98F9469ABD77}"/>
    <cellStyle name="Shade 4 2" xfId="611" xr:uid="{171FDC4D-DA9C-45CA-AE20-AC2D7A145D3B}"/>
    <cellStyle name="Shade 4 2 2" xfId="1072" xr:uid="{30E2DFDB-D54F-4963-A803-37D90B434DA0}"/>
    <cellStyle name="Shade 4 2 2 2" xfId="676" xr:uid="{A287DCD5-2F3C-403A-8D7F-54AF5B666593}"/>
    <cellStyle name="Shade 4 2 3" xfId="1286" xr:uid="{71F54555-2462-4B7D-A744-EBFE858AC3F6}"/>
    <cellStyle name="Shade 4 2 3 2" xfId="946" xr:uid="{408179E9-AFDB-42CE-84A5-91F36E48CA62}"/>
    <cellStyle name="Shade 4 3" xfId="640" xr:uid="{6040FA04-AE3D-4456-BFA5-8BBB12D1CB01}"/>
    <cellStyle name="Shade 4 3 2" xfId="1315" xr:uid="{1F1FC654-9ED0-48BD-BBD3-79377B950B54}"/>
    <cellStyle name="Shade 4 3 2 2" xfId="899" xr:uid="{4C287C6C-132B-4492-A5CD-446BDA6B100D}"/>
    <cellStyle name="Shade 4 3 3" xfId="1101" xr:uid="{C50328E9-4FDF-4A47-B173-6DE2381B489F}"/>
    <cellStyle name="Shade 4 3 4" xfId="696" xr:uid="{227E6BA6-A1F1-4551-9323-A9405F1750A2}"/>
    <cellStyle name="Shade 4 4" xfId="502" xr:uid="{A3D173AE-AFB1-44F2-A3AB-8F7A130478EB}"/>
    <cellStyle name="Shade 4 4 2" xfId="1177" xr:uid="{761F4C37-D8F6-4B77-BE2E-256585D3C5D7}"/>
    <cellStyle name="Shade 4 4 2 2" xfId="1402" xr:uid="{17F901A1-E187-4CA0-9FB7-7D9F1A7C7A9A}"/>
    <cellStyle name="Shade 4 4 3" xfId="963" xr:uid="{F9C1D40A-740B-40F7-B8C2-A55BF4AFEE61}"/>
    <cellStyle name="Shade 4 4 4" xfId="1491" xr:uid="{84CEC16A-8405-4261-B52D-DA799245181C}"/>
    <cellStyle name="Shade 4 5" xfId="836" xr:uid="{8A356A6C-59C2-4779-A70F-B322D6684720}"/>
    <cellStyle name="Shade 4 6" xfId="790" xr:uid="{31E375A8-EB1C-4960-AD4D-50B4728C9EEB}"/>
    <cellStyle name="Shade 5" xfId="709" xr:uid="{5C117FFF-99A1-45F9-83C6-8C11C624977B}"/>
    <cellStyle name="Shade 5 2" xfId="921" xr:uid="{FEAE8A8F-0C33-448C-8AE8-2875485785D8}"/>
    <cellStyle name="Shade_B_border2" xfId="162" xr:uid="{EE2178B3-465B-4CC6-9B9B-4618DD4D9064}"/>
    <cellStyle name="Standard 2" xfId="188" xr:uid="{443A59EF-FA50-4A8D-B247-4DE8EED46658}"/>
    <cellStyle name="Standard 2 2" xfId="387" xr:uid="{7B2294CA-CF95-4B3B-9A85-BEE94B703FF6}"/>
    <cellStyle name="Standard 2 2 2" xfId="497" xr:uid="{E7D41C54-ADCA-4A4E-B627-B5F561F42897}"/>
    <cellStyle name="Standard 2 3" xfId="496" xr:uid="{8FF52C94-F873-4633-9EDA-FCD6BA1D46AC}"/>
    <cellStyle name="Title 2" xfId="163" xr:uid="{C92270C4-64A6-40EA-A3ED-056D385F0051}"/>
    <cellStyle name="Title 3" xfId="228" xr:uid="{B6AAA227-73AE-4946-BC3A-966CC419AC0F}"/>
    <cellStyle name="Total 2" xfId="164" xr:uid="{566BA82A-91D0-4F65-9FDA-93C9E340DAA8}"/>
    <cellStyle name="Total 2 2" xfId="557" xr:uid="{C2919B81-DA7D-4CFD-BA77-FFACEB75A04D}"/>
    <cellStyle name="Total 2 2 2" xfId="1232" xr:uid="{A992C7B3-C22B-4A3A-BA69-A02E4948103D}"/>
    <cellStyle name="Total 2 2 2 2" xfId="716" xr:uid="{354D39EA-EC3B-4B2D-9024-7BB260A03631}"/>
    <cellStyle name="Total 2 2 3" xfId="1018" xr:uid="{8D6968EE-8C07-4165-8EAC-F6F0C1D548C8}"/>
    <cellStyle name="Total 2 2 4" xfId="1526" xr:uid="{CA857678-13D9-44F8-991D-419E3C034D54}"/>
    <cellStyle name="Total 2 3" xfId="618" xr:uid="{ACD9FBAC-D0F0-40C7-8793-89616AAC7F30}"/>
    <cellStyle name="Total 2 3 2" xfId="1293" xr:uid="{AA40B852-CF36-4CEF-9B6F-9DA1E1F455F8}"/>
    <cellStyle name="Total 2 3 2 2" xfId="1472" xr:uid="{C0370B0D-36DB-4145-B029-13F1BBA0ECF9}"/>
    <cellStyle name="Total 2 3 3" xfId="1079" xr:uid="{4188C995-17B3-4B4D-8A51-326D94407BCE}"/>
    <cellStyle name="Total 2 3 4" xfId="1399" xr:uid="{05913C52-4DF0-49F2-BC4D-DA240B0371FC}"/>
    <cellStyle name="Total 2 4" xfId="506" xr:uid="{8C36CB72-7458-4DD2-9720-86163CE5551F}"/>
    <cellStyle name="Total 2 4 2" xfId="1181" xr:uid="{3DD51A15-08DA-410D-8316-CB7C06086E3D}"/>
    <cellStyle name="Total 2 4 2 2" xfId="1393" xr:uid="{78B45784-EB89-4BC6-B45E-2D57E7990997}"/>
    <cellStyle name="Total 2 4 3" xfId="967" xr:uid="{66618AC1-12C7-4A59-ABB8-967B7295A2E8}"/>
    <cellStyle name="Total 2 4 4" xfId="914" xr:uid="{59EBC947-5DC7-4C34-945F-7AE11D81DA88}"/>
    <cellStyle name="Total 2 5" xfId="1137" xr:uid="{5CF0C05A-32D4-40D7-A02C-732A6B4800CC}"/>
    <cellStyle name="Total 2 5 2" xfId="1427" xr:uid="{F841AB1E-52AF-42D4-856A-9AFD736C45DA}"/>
    <cellStyle name="Total 2 6" xfId="770" xr:uid="{35848F86-2EF0-449E-996E-4C754D0C7BFA}"/>
    <cellStyle name="Total 2 7" xfId="893" xr:uid="{EAFCE8A4-0C32-4DD5-B955-6FB6B1EB2A15}"/>
    <cellStyle name="Total 3" xfId="229" xr:uid="{838F4CB2-1179-4659-B816-50137AE70574}"/>
    <cellStyle name="Total 3 2" xfId="581" xr:uid="{652E535E-4F86-4316-9E22-05207FEB9771}"/>
    <cellStyle name="Total 3 2 2" xfId="1256" xr:uid="{749784FF-868D-4D42-884E-70AD32AEF05B}"/>
    <cellStyle name="Total 3 2 2 2" xfId="1418" xr:uid="{DB549741-E07B-4F71-A256-586751F8856B}"/>
    <cellStyle name="Total 3 2 3" xfId="1042" xr:uid="{49574184-D116-46F3-82FE-730435D337A2}"/>
    <cellStyle name="Total 3 2 4" xfId="1445" xr:uid="{B9184BD6-EEE0-443D-AA4E-B7C21969D403}"/>
    <cellStyle name="Total 3 3" xfId="544" xr:uid="{03A572EB-3CA6-4023-A291-FC9D684E4601}"/>
    <cellStyle name="Total 3 3 2" xfId="1219" xr:uid="{14ED7155-2DF4-4EB1-995C-9A5712FA9560}"/>
    <cellStyle name="Total 3 3 2 2" xfId="795" xr:uid="{6C5FE4C8-5D3E-4EDE-9F4B-DB8D31584604}"/>
    <cellStyle name="Total 3 3 3" xfId="1005" xr:uid="{B843C693-B588-40BC-BD2C-4B39DEC24D51}"/>
    <cellStyle name="Total 3 3 4" xfId="1531" xr:uid="{D20AF2D8-2F95-4713-87BA-2B33EF8E51CD}"/>
    <cellStyle name="Total 3 4" xfId="585" xr:uid="{EA5977A4-3B5A-4A40-B5CE-E92CFDEA7AE6}"/>
    <cellStyle name="Total 3 4 2" xfId="1260" xr:uid="{4E38B586-7DE6-44C4-B7E5-6F318D125A2A}"/>
    <cellStyle name="Total 3 4 2 2" xfId="943" xr:uid="{9B91CFAC-AED0-439B-BA73-328ACEE7D9FD}"/>
    <cellStyle name="Total 3 4 3" xfId="1046" xr:uid="{F92156E0-09F7-4E66-8CD1-E92A1422AC01}"/>
    <cellStyle name="Total 3 4 4" xfId="1396" xr:uid="{6ADE8578-9154-41A2-B930-73D34A2A8983}"/>
    <cellStyle name="Total 3 5" xfId="1142" xr:uid="{896376FA-F011-47CA-BD27-D86052023597}"/>
    <cellStyle name="Total 3 5 2" xfId="1468" xr:uid="{E5F8300F-5F2B-461F-907E-C4DDE4E5EF14}"/>
    <cellStyle name="Total 3 6" xfId="805" xr:uid="{8482DEA5-8F4E-4490-8867-B319BBAD81B6}"/>
    <cellStyle name="Total 3 7" xfId="1360" xr:uid="{D4468EB0-A814-4A46-A221-62C0F6EE1E0C}"/>
    <cellStyle name="Überschrift" xfId="165" xr:uid="{B6C71E4E-316B-4F1B-9E4E-62145D6D03EC}"/>
    <cellStyle name="Überschrift 1" xfId="166" xr:uid="{AC83F4B9-F1B9-42F2-9EA6-2E9E1859A68D}"/>
    <cellStyle name="Überschrift 2" xfId="167" xr:uid="{53E6CBCB-4E46-4357-B14A-E1AA8F548895}"/>
    <cellStyle name="Überschrift 3" xfId="168" xr:uid="{C7281185-3372-48E0-BBEF-8FFA5349C853}"/>
    <cellStyle name="Überschrift 4" xfId="169" xr:uid="{53E009E4-D9B5-45B1-AD49-1D4D4E9E7434}"/>
    <cellStyle name="Verknüpfte Zelle" xfId="170" xr:uid="{EA020AA4-FB08-41B2-B55F-5E58A3B88661}"/>
    <cellStyle name="Warnender Text" xfId="171" xr:uid="{089B3C11-3826-4F95-8378-E9890E8BD36B}"/>
    <cellStyle name="Warnender Text 2" xfId="386" xr:uid="{AEC991EF-241A-4EB4-AEC2-F71989787C97}"/>
    <cellStyle name="Warnender Text 3" xfId="277" xr:uid="{7A6492B9-63F4-4232-B4F3-95DABE676E26}"/>
    <cellStyle name="Warning Text" xfId="1" builtinId="11"/>
    <cellStyle name="Warning Text 2" xfId="172" xr:uid="{367004A3-0097-4239-9629-BF289B13DBDD}"/>
    <cellStyle name="Warning Text 3" xfId="230" xr:uid="{2F2FB164-B9DB-4BDF-B9EE-918EA1811BE3}"/>
    <cellStyle name="Zelle überprüfen" xfId="173" xr:uid="{DC4FE79F-191A-478E-9276-1CE80470DC71}"/>
    <cellStyle name="Гиперссылка" xfId="174" xr:uid="{FB70EE5D-D45F-4E48-8952-A2FEFBEAD307}"/>
    <cellStyle name="Гиперссылка 2" xfId="175" xr:uid="{E1FACDD5-16BD-4FEA-B38D-B4079D67DB8F}"/>
    <cellStyle name="Гиперссылка 3" xfId="185" xr:uid="{61715C51-47EB-4BFF-ABFC-2439747535D4}"/>
    <cellStyle name="Гиперссылка 4" xfId="360" xr:uid="{A354F417-7A02-4F52-A99D-392936166960}"/>
    <cellStyle name="Обычный_2++" xfId="33" xr:uid="{93F361D1-C63C-41D1-A1BA-9C218E77C272}"/>
    <cellStyle name="Обычный_CRF2002 (1)" xfId="1555" xr:uid="{6C45CD91-7277-42DB-9105-4D86F2A67E15}"/>
  </cellStyles>
  <dxfs count="1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FF000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A5A5A5"/>
      <color rgb="FF5BC4BE"/>
      <color rgb="FF00ACD3"/>
      <color rgb="FF6FC7B7"/>
      <color rgb="FFEF4D7F"/>
      <color rgb="FF003A5D"/>
      <color rgb="FF6AC17B"/>
      <color rgb="FF0060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 Id="rId27"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NZ emission trajectories following IPCC 1.5 degree target ranges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'NDC tool'!$C$77:$AG$77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'NDC tool'!$A$97:$W$97</c:f>
              <c:numCache>
                <c:formatCode>General</c:formatCode>
                <c:ptCount val="23"/>
              </c:numCache>
            </c:numRef>
          </c:val>
          <c:smooth val="0"/>
          <c:extLst>
            <c:ext xmlns:c15="http://schemas.microsoft.com/office/drawing/2012/chart" uri="{02D57815-91ED-43cb-92C2-25804820EDAC}">
              <c15:filteredSeriesTitle>
                <c15:tx>
                  <c:strRef>
                    <c:extLst>
                      <c:ext uri="{02D57815-91ED-43cb-92C2-25804820EDAC}">
                        <c15:formulaRef>
                          <c15:sqref>'NDC tool'!#REF!</c15:sqref>
                        </c15:formulaRef>
                      </c:ext>
                    </c:extLst>
                    <c:strCache>
                      <c:ptCount val="1"/>
                      <c:pt idx="0">
                        <c:v>#REF!</c:v>
                      </c:pt>
                    </c:strCache>
                  </c:strRef>
                </c15:tx>
              </c15:filteredSeriesTitle>
            </c:ext>
            <c:ext xmlns:c16="http://schemas.microsoft.com/office/drawing/2014/chart" uri="{C3380CC4-5D6E-409C-BE32-E72D297353CC}">
              <c16:uniqueId val="{00000000-96BC-4EB6-AE29-A8526E2EB7A8}"/>
            </c:ext>
          </c:extLst>
        </c:ser>
        <c:ser>
          <c:idx val="1"/>
          <c:order val="1"/>
          <c:spPr>
            <a:ln w="28575" cap="rnd">
              <a:solidFill>
                <a:schemeClr val="accent2"/>
              </a:solidFill>
              <a:round/>
            </a:ln>
            <a:effectLst/>
          </c:spPr>
          <c:marker>
            <c:symbol val="none"/>
          </c:marker>
          <c:cat>
            <c:numRef>
              <c:f>'NDC tool'!$C$77:$AG$77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f>'NDC tool'!$A$98:$W$98</c:f>
              <c:numCache>
                <c:formatCode>General</c:formatCode>
                <c:ptCount val="23"/>
              </c:numCache>
            </c:numRef>
          </c:val>
          <c:smooth val="0"/>
          <c:extLst>
            <c:ext xmlns:c15="http://schemas.microsoft.com/office/drawing/2012/chart" uri="{02D57815-91ED-43cb-92C2-25804820EDAC}">
              <c15:filteredSeriesTitle>
                <c15:tx>
                  <c:strRef>
                    <c:extLst>
                      <c:ext uri="{02D57815-91ED-43cb-92C2-25804820EDAC}">
                        <c15:formulaRef>
                          <c15:sqref>'NDC tool'!#REF!</c15:sqref>
                        </c15:formulaRef>
                      </c:ext>
                    </c:extLst>
                    <c:strCache>
                      <c:ptCount val="1"/>
                      <c:pt idx="0">
                        <c:v>#REF!</c:v>
                      </c:pt>
                    </c:strCache>
                  </c:strRef>
                </c15:tx>
              </c15:filteredSeriesTitle>
            </c:ext>
            <c:ext xmlns:c16="http://schemas.microsoft.com/office/drawing/2014/chart" uri="{C3380CC4-5D6E-409C-BE32-E72D297353CC}">
              <c16:uniqueId val="{00000001-96BC-4EB6-AE29-A8526E2EB7A8}"/>
            </c:ext>
          </c:extLst>
        </c:ser>
        <c:dLbls>
          <c:showLegendKey val="0"/>
          <c:showVal val="0"/>
          <c:showCatName val="0"/>
          <c:showSerName val="0"/>
          <c:showPercent val="0"/>
          <c:showBubbleSize val="0"/>
        </c:dLbls>
        <c:smooth val="0"/>
        <c:axId val="2126240016"/>
        <c:axId val="2127678416"/>
      </c:lineChart>
      <c:catAx>
        <c:axId val="2126240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7678416"/>
        <c:crosses val="autoZero"/>
        <c:auto val="1"/>
        <c:lblAlgn val="ctr"/>
        <c:lblOffset val="100"/>
        <c:tickLblSkip val="5"/>
        <c:noMultiLvlLbl val="0"/>
      </c:catAx>
      <c:valAx>
        <c:axId val="21276784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Mt CO</a:t>
                </a:r>
                <a:r>
                  <a:rPr lang="en-NZ" baseline="-25000"/>
                  <a:t>2</a:t>
                </a:r>
                <a:r>
                  <a:rPr lang="en-NZ"/>
                  <a:t>-e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6240016"/>
        <c:crosses val="autoZero"/>
        <c:crossBetween val="between"/>
        <c:dispUnits>
          <c:builtInUnit val="thousands"/>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Graphs!$C$2</c:f>
              <c:strCache>
                <c:ptCount val="1"/>
                <c:pt idx="0">
                  <c:v>Kyoto Protocol</c:v>
                </c:pt>
              </c:strCache>
            </c:strRef>
          </c:tx>
          <c:spPr>
            <a:solidFill>
              <a:srgbClr val="00ACD3"/>
            </a:solidFill>
            <a:ln>
              <a:noFill/>
            </a:ln>
            <a:effectLst/>
          </c:spPr>
          <c:invertIfNegative val="0"/>
          <c:cat>
            <c:numRef>
              <c:f>Graphs!$B$21:$B$53</c:f>
              <c:numCache>
                <c:formatCode>General</c:formatCode>
                <c:ptCount val="33"/>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pt idx="18">
                  <c:v>2026</c:v>
                </c:pt>
                <c:pt idx="19">
                  <c:v>2027</c:v>
                </c:pt>
                <c:pt idx="20">
                  <c:v>2028</c:v>
                </c:pt>
                <c:pt idx="21">
                  <c:v>2029</c:v>
                </c:pt>
                <c:pt idx="22">
                  <c:v>2030</c:v>
                </c:pt>
                <c:pt idx="23">
                  <c:v>2031</c:v>
                </c:pt>
                <c:pt idx="24">
                  <c:v>2032</c:v>
                </c:pt>
                <c:pt idx="25">
                  <c:v>2033</c:v>
                </c:pt>
                <c:pt idx="26">
                  <c:v>2034</c:v>
                </c:pt>
                <c:pt idx="27">
                  <c:v>2035</c:v>
                </c:pt>
                <c:pt idx="28">
                  <c:v>2036</c:v>
                </c:pt>
                <c:pt idx="29">
                  <c:v>2037</c:v>
                </c:pt>
                <c:pt idx="30">
                  <c:v>2038</c:v>
                </c:pt>
                <c:pt idx="31">
                  <c:v>2039</c:v>
                </c:pt>
                <c:pt idx="32">
                  <c:v>2040</c:v>
                </c:pt>
              </c:numCache>
            </c:numRef>
          </c:cat>
          <c:val>
            <c:numRef>
              <c:f>Graphs!$C$21:$C$53</c:f>
              <c:numCache>
                <c:formatCode>#,##0.00</c:formatCode>
                <c:ptCount val="33"/>
                <c:pt idx="0">
                  <c:v>65129.226515368893</c:v>
                </c:pt>
                <c:pt idx="1">
                  <c:v>65129.226515368893</c:v>
                </c:pt>
                <c:pt idx="2">
                  <c:v>65129.226515368893</c:v>
                </c:pt>
                <c:pt idx="3">
                  <c:v>65129.226515368893</c:v>
                </c:pt>
                <c:pt idx="4">
                  <c:v>65129.226515368893</c:v>
                </c:pt>
              </c:numCache>
            </c:numRef>
          </c:val>
          <c:extLst>
            <c:ext xmlns:c16="http://schemas.microsoft.com/office/drawing/2014/chart" uri="{C3380CC4-5D6E-409C-BE32-E72D297353CC}">
              <c16:uniqueId val="{00000000-6912-469E-9CC8-7DEE01DC934C}"/>
            </c:ext>
          </c:extLst>
        </c:ser>
        <c:ser>
          <c:idx val="1"/>
          <c:order val="1"/>
          <c:tx>
            <c:strRef>
              <c:f>Graphs!$E$2</c:f>
              <c:strCache>
                <c:ptCount val="1"/>
                <c:pt idx="0">
                  <c:v>2020 target</c:v>
                </c:pt>
              </c:strCache>
            </c:strRef>
          </c:tx>
          <c:spPr>
            <a:solidFill>
              <a:srgbClr val="5BC4BE"/>
            </a:solidFill>
            <a:ln>
              <a:noFill/>
            </a:ln>
            <a:effectLst/>
          </c:spPr>
          <c:invertIfNegative val="0"/>
          <c:cat>
            <c:numRef>
              <c:f>Graphs!$B$21:$B$53</c:f>
              <c:numCache>
                <c:formatCode>General</c:formatCode>
                <c:ptCount val="33"/>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pt idx="18">
                  <c:v>2026</c:v>
                </c:pt>
                <c:pt idx="19">
                  <c:v>2027</c:v>
                </c:pt>
                <c:pt idx="20">
                  <c:v>2028</c:v>
                </c:pt>
                <c:pt idx="21">
                  <c:v>2029</c:v>
                </c:pt>
                <c:pt idx="22">
                  <c:v>2030</c:v>
                </c:pt>
                <c:pt idx="23">
                  <c:v>2031</c:v>
                </c:pt>
                <c:pt idx="24">
                  <c:v>2032</c:v>
                </c:pt>
                <c:pt idx="25">
                  <c:v>2033</c:v>
                </c:pt>
                <c:pt idx="26">
                  <c:v>2034</c:v>
                </c:pt>
                <c:pt idx="27">
                  <c:v>2035</c:v>
                </c:pt>
                <c:pt idx="28">
                  <c:v>2036</c:v>
                </c:pt>
                <c:pt idx="29">
                  <c:v>2037</c:v>
                </c:pt>
                <c:pt idx="30">
                  <c:v>2038</c:v>
                </c:pt>
                <c:pt idx="31">
                  <c:v>2039</c:v>
                </c:pt>
                <c:pt idx="32">
                  <c:v>2040</c:v>
                </c:pt>
              </c:numCache>
            </c:numRef>
          </c:cat>
          <c:val>
            <c:numRef>
              <c:f>Graphs!$E$21:$E$53</c:f>
              <c:numCache>
                <c:formatCode>General</c:formatCode>
                <c:ptCount val="33"/>
                <c:pt idx="5">
                  <c:v>63012.526653619389</c:v>
                </c:pt>
                <c:pt idx="6">
                  <c:v>63012.526653619389</c:v>
                </c:pt>
                <c:pt idx="7">
                  <c:v>63012.526653619389</c:v>
                </c:pt>
                <c:pt idx="8">
                  <c:v>63012.526653619389</c:v>
                </c:pt>
                <c:pt idx="9">
                  <c:v>63012.526653619389</c:v>
                </c:pt>
                <c:pt idx="10">
                  <c:v>63012.526653619389</c:v>
                </c:pt>
                <c:pt idx="11">
                  <c:v>63012.526653619389</c:v>
                </c:pt>
                <c:pt idx="12">
                  <c:v>63012.526653619389</c:v>
                </c:pt>
              </c:numCache>
            </c:numRef>
          </c:val>
          <c:extLst>
            <c:ext xmlns:c16="http://schemas.microsoft.com/office/drawing/2014/chart" uri="{C3380CC4-5D6E-409C-BE32-E72D297353CC}">
              <c16:uniqueId val="{00000001-6912-469E-9CC8-7DEE01DC934C}"/>
            </c:ext>
          </c:extLst>
        </c:ser>
        <c:ser>
          <c:idx val="2"/>
          <c:order val="2"/>
          <c:tx>
            <c:strRef>
              <c:f>Graphs!$F$2</c:f>
              <c:strCache>
                <c:ptCount val="1"/>
                <c:pt idx="0">
                  <c:v>Current NDC</c:v>
                </c:pt>
              </c:strCache>
            </c:strRef>
          </c:tx>
          <c:spPr>
            <a:solidFill>
              <a:srgbClr val="6AC17B"/>
            </a:solidFill>
            <a:ln>
              <a:noFill/>
            </a:ln>
            <a:effectLst/>
          </c:spPr>
          <c:invertIfNegative val="0"/>
          <c:cat>
            <c:numRef>
              <c:f>Graphs!$B$21:$B$53</c:f>
              <c:numCache>
                <c:formatCode>General</c:formatCode>
                <c:ptCount val="33"/>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pt idx="18">
                  <c:v>2026</c:v>
                </c:pt>
                <c:pt idx="19">
                  <c:v>2027</c:v>
                </c:pt>
                <c:pt idx="20">
                  <c:v>2028</c:v>
                </c:pt>
                <c:pt idx="21">
                  <c:v>2029</c:v>
                </c:pt>
                <c:pt idx="22">
                  <c:v>2030</c:v>
                </c:pt>
                <c:pt idx="23">
                  <c:v>2031</c:v>
                </c:pt>
                <c:pt idx="24">
                  <c:v>2032</c:v>
                </c:pt>
                <c:pt idx="25">
                  <c:v>2033</c:v>
                </c:pt>
                <c:pt idx="26">
                  <c:v>2034</c:v>
                </c:pt>
                <c:pt idx="27">
                  <c:v>2035</c:v>
                </c:pt>
                <c:pt idx="28">
                  <c:v>2036</c:v>
                </c:pt>
                <c:pt idx="29">
                  <c:v>2037</c:v>
                </c:pt>
                <c:pt idx="30">
                  <c:v>2038</c:v>
                </c:pt>
                <c:pt idx="31">
                  <c:v>2039</c:v>
                </c:pt>
                <c:pt idx="32">
                  <c:v>2040</c:v>
                </c:pt>
              </c:numCache>
            </c:numRef>
          </c:cat>
          <c:val>
            <c:numRef>
              <c:f>Graphs!$F$21:$F$53</c:f>
              <c:numCache>
                <c:formatCode>General</c:formatCode>
                <c:ptCount val="33"/>
                <c:pt idx="13">
                  <c:v>59599.920526098598</c:v>
                </c:pt>
                <c:pt idx="14">
                  <c:v>59599.920526098598</c:v>
                </c:pt>
                <c:pt idx="15">
                  <c:v>59599.920526098598</c:v>
                </c:pt>
                <c:pt idx="16">
                  <c:v>59599.920526098598</c:v>
                </c:pt>
                <c:pt idx="17">
                  <c:v>59599.920526098598</c:v>
                </c:pt>
                <c:pt idx="18">
                  <c:v>59599.920526098598</c:v>
                </c:pt>
                <c:pt idx="19">
                  <c:v>59599.920526098598</c:v>
                </c:pt>
                <c:pt idx="20">
                  <c:v>59599.920526098598</c:v>
                </c:pt>
                <c:pt idx="21">
                  <c:v>59599.920526098598</c:v>
                </c:pt>
                <c:pt idx="22">
                  <c:v>59599.920526098598</c:v>
                </c:pt>
              </c:numCache>
            </c:numRef>
          </c:val>
          <c:extLst>
            <c:ext xmlns:c16="http://schemas.microsoft.com/office/drawing/2014/chart" uri="{C3380CC4-5D6E-409C-BE32-E72D297353CC}">
              <c16:uniqueId val="{00000002-6912-469E-9CC8-7DEE01DC934C}"/>
            </c:ext>
          </c:extLst>
        </c:ser>
        <c:dLbls>
          <c:showLegendKey val="0"/>
          <c:showVal val="0"/>
          <c:showCatName val="0"/>
          <c:showSerName val="0"/>
          <c:showPercent val="0"/>
          <c:showBubbleSize val="0"/>
        </c:dLbls>
        <c:gapWidth val="0"/>
        <c:overlap val="100"/>
        <c:axId val="1919564864"/>
        <c:axId val="2043298464"/>
      </c:barChart>
      <c:lineChart>
        <c:grouping val="standard"/>
        <c:varyColors val="0"/>
        <c:ser>
          <c:idx val="3"/>
          <c:order val="3"/>
          <c:tx>
            <c:v>Net emissions actuals</c:v>
          </c:tx>
          <c:spPr>
            <a:ln w="28575" cap="rnd">
              <a:solidFill>
                <a:srgbClr val="003A5D"/>
              </a:solidFill>
              <a:round/>
            </a:ln>
            <a:effectLst/>
          </c:spPr>
          <c:marker>
            <c:symbol val="none"/>
          </c:marker>
          <c:val>
            <c:numRef>
              <c:f>Graphs!$P$21:$P$53</c:f>
              <c:numCache>
                <c:formatCode>#,##0.00</c:formatCode>
                <c:ptCount val="33"/>
                <c:pt idx="0">
                  <c:v>66872.855232693721</c:v>
                </c:pt>
                <c:pt idx="1">
                  <c:v>66096.581329562148</c:v>
                </c:pt>
                <c:pt idx="2">
                  <c:v>67448.115974520711</c:v>
                </c:pt>
                <c:pt idx="3">
                  <c:v>65914.054918269379</c:v>
                </c:pt>
                <c:pt idx="4">
                  <c:v>69581.080924260343</c:v>
                </c:pt>
                <c:pt idx="5">
                  <c:v>71807.64359535469</c:v>
                </c:pt>
                <c:pt idx="6">
                  <c:v>68513.41656542453</c:v>
                </c:pt>
                <c:pt idx="7">
                  <c:v>66294.387839486968</c:v>
                </c:pt>
                <c:pt idx="8">
                  <c:v>62706.188074942853</c:v>
                </c:pt>
                <c:pt idx="9">
                  <c:v>64465.30584995047</c:v>
                </c:pt>
                <c:pt idx="10">
                  <c:v>65127.647418076893</c:v>
                </c:pt>
                <c:pt idx="11">
                  <c:v>68797.794502709206</c:v>
                </c:pt>
              </c:numCache>
            </c:numRef>
          </c:val>
          <c:smooth val="0"/>
          <c:extLst>
            <c:ext xmlns:c16="http://schemas.microsoft.com/office/drawing/2014/chart" uri="{C3380CC4-5D6E-409C-BE32-E72D297353CC}">
              <c16:uniqueId val="{00000004-6912-469E-9CC8-7DEE01DC934C}"/>
            </c:ext>
          </c:extLst>
        </c:ser>
        <c:ser>
          <c:idx val="4"/>
          <c:order val="4"/>
          <c:tx>
            <c:v>Projected net</c:v>
          </c:tx>
          <c:spPr>
            <a:ln w="28575" cap="rnd">
              <a:solidFill>
                <a:srgbClr val="003A5D"/>
              </a:solidFill>
              <a:prstDash val="sysDash"/>
              <a:round/>
            </a:ln>
            <a:effectLst/>
          </c:spPr>
          <c:marker>
            <c:symbol val="none"/>
          </c:marker>
          <c:val>
            <c:numRef>
              <c:f>Graphs!$Q$21:$Q$53</c:f>
              <c:numCache>
                <c:formatCode>#,##0.00</c:formatCode>
                <c:ptCount val="33"/>
                <c:pt idx="11">
                  <c:v>68797.794502709206</c:v>
                </c:pt>
                <c:pt idx="12" formatCode="General">
                  <c:v>71531.438939204774</c:v>
                </c:pt>
                <c:pt idx="13" formatCode="General">
                  <c:v>71501.083903294319</c:v>
                </c:pt>
              </c:numCache>
            </c:numRef>
          </c:val>
          <c:smooth val="0"/>
          <c:extLst>
            <c:ext xmlns:c16="http://schemas.microsoft.com/office/drawing/2014/chart" uri="{C3380CC4-5D6E-409C-BE32-E72D297353CC}">
              <c16:uniqueId val="{00000006-6912-469E-9CC8-7DEE01DC934C}"/>
            </c:ext>
          </c:extLst>
        </c:ser>
        <c:dLbls>
          <c:showLegendKey val="0"/>
          <c:showVal val="0"/>
          <c:showCatName val="0"/>
          <c:showSerName val="0"/>
          <c:showPercent val="0"/>
          <c:showBubbleSize val="0"/>
        </c:dLbls>
        <c:marker val="1"/>
        <c:smooth val="0"/>
        <c:axId val="1919564864"/>
        <c:axId val="2043298464"/>
      </c:lineChart>
      <c:catAx>
        <c:axId val="1919564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3298464"/>
        <c:crosses val="autoZero"/>
        <c:auto val="1"/>
        <c:lblAlgn val="ctr"/>
        <c:lblOffset val="100"/>
        <c:noMultiLvlLbl val="0"/>
      </c:catAx>
      <c:valAx>
        <c:axId val="2043298464"/>
        <c:scaling>
          <c:orientation val="minMax"/>
          <c:min val="40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Mt CO</a:t>
                </a:r>
                <a:r>
                  <a:rPr lang="en-NZ" baseline="-25000"/>
                  <a:t>2</a:t>
                </a:r>
                <a:r>
                  <a:rPr lang="en-NZ"/>
                  <a:t>-e per year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19564864"/>
        <c:crosses val="autoZero"/>
        <c:crossBetween val="between"/>
        <c:dispUnits>
          <c:builtInUnit val="thousands"/>
        </c:dispUnits>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Graphs!$F$2</c:f>
              <c:strCache>
                <c:ptCount val="1"/>
                <c:pt idx="0">
                  <c:v>Current NDC</c:v>
                </c:pt>
              </c:strCache>
            </c:strRef>
          </c:tx>
          <c:spPr>
            <a:solidFill>
              <a:srgbClr val="6AC17B"/>
            </a:solidFill>
            <a:ln>
              <a:noFill/>
            </a:ln>
            <a:effectLst/>
          </c:spPr>
          <c:invertIfNegative val="0"/>
          <c:cat>
            <c:numRef>
              <c:f>Graphs!$B$34:$B$63</c:f>
              <c:numCache>
                <c:formatCode>General</c:formatCode>
                <c:ptCount val="3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pt idx="20">
                  <c:v>2041</c:v>
                </c:pt>
                <c:pt idx="21">
                  <c:v>2042</c:v>
                </c:pt>
                <c:pt idx="22">
                  <c:v>2043</c:v>
                </c:pt>
                <c:pt idx="23">
                  <c:v>2044</c:v>
                </c:pt>
                <c:pt idx="24">
                  <c:v>2045</c:v>
                </c:pt>
                <c:pt idx="25">
                  <c:v>2046</c:v>
                </c:pt>
                <c:pt idx="26">
                  <c:v>2047</c:v>
                </c:pt>
                <c:pt idx="27">
                  <c:v>2048</c:v>
                </c:pt>
                <c:pt idx="28">
                  <c:v>2049</c:v>
                </c:pt>
                <c:pt idx="29">
                  <c:v>2050</c:v>
                </c:pt>
              </c:numCache>
            </c:numRef>
          </c:cat>
          <c:val>
            <c:numRef>
              <c:f>Graphs!$F$34:$F$63</c:f>
              <c:numCache>
                <c:formatCode>General</c:formatCode>
                <c:ptCount val="30"/>
                <c:pt idx="0">
                  <c:v>59599.920526098598</c:v>
                </c:pt>
                <c:pt idx="1">
                  <c:v>59599.920526098598</c:v>
                </c:pt>
                <c:pt idx="2">
                  <c:v>59599.920526098598</c:v>
                </c:pt>
                <c:pt idx="3">
                  <c:v>59599.920526098598</c:v>
                </c:pt>
                <c:pt idx="4">
                  <c:v>59599.920526098598</c:v>
                </c:pt>
                <c:pt idx="5">
                  <c:v>59599.920526098598</c:v>
                </c:pt>
                <c:pt idx="6">
                  <c:v>59599.920526098598</c:v>
                </c:pt>
                <c:pt idx="7">
                  <c:v>59599.920526098598</c:v>
                </c:pt>
                <c:pt idx="8">
                  <c:v>59599.920526098598</c:v>
                </c:pt>
                <c:pt idx="9">
                  <c:v>59599.920526098598</c:v>
                </c:pt>
              </c:numCache>
            </c:numRef>
          </c:val>
          <c:extLst>
            <c:ext xmlns:c16="http://schemas.microsoft.com/office/drawing/2014/chart" uri="{C3380CC4-5D6E-409C-BE32-E72D297353CC}">
              <c16:uniqueId val="{00000000-7AF2-431B-9A8C-9A549E9FB619}"/>
            </c:ext>
          </c:extLst>
        </c:ser>
        <c:dLbls>
          <c:showLegendKey val="0"/>
          <c:showVal val="0"/>
          <c:showCatName val="0"/>
          <c:showSerName val="0"/>
          <c:showPercent val="0"/>
          <c:showBubbleSize val="0"/>
        </c:dLbls>
        <c:gapWidth val="0"/>
        <c:axId val="546947696"/>
        <c:axId val="487838272"/>
      </c:barChart>
      <c:lineChart>
        <c:grouping val="standard"/>
        <c:varyColors val="0"/>
        <c:ser>
          <c:idx val="1"/>
          <c:order val="1"/>
          <c:tx>
            <c:v>IPCC 1.5 low emissions</c:v>
          </c:tx>
          <c:spPr>
            <a:ln w="28575" cap="rnd">
              <a:solidFill>
                <a:srgbClr val="6FC7B7"/>
              </a:solidFill>
              <a:round/>
            </a:ln>
            <a:effectLst/>
          </c:spPr>
          <c:marker>
            <c:symbol val="none"/>
          </c:marker>
          <c:val>
            <c:numRef>
              <c:f>Graphs!$T$34:$T$63</c:f>
              <c:numCache>
                <c:formatCode>General</c:formatCode>
                <c:ptCount val="30"/>
                <c:pt idx="9">
                  <c:v>59599.920526098598</c:v>
                </c:pt>
                <c:pt idx="10">
                  <c:v>57700.480929049445</c:v>
                </c:pt>
                <c:pt idx="11">
                  <c:v>55801.041332000292</c:v>
                </c:pt>
                <c:pt idx="12">
                  <c:v>53901.601734951138</c:v>
                </c:pt>
                <c:pt idx="13">
                  <c:v>52002.162137901985</c:v>
                </c:pt>
                <c:pt idx="14">
                  <c:v>50102.722540852832</c:v>
                </c:pt>
                <c:pt idx="15">
                  <c:v>48203.282943803679</c:v>
                </c:pt>
                <c:pt idx="16">
                  <c:v>46303.843346754526</c:v>
                </c:pt>
                <c:pt idx="17">
                  <c:v>44404.403749705372</c:v>
                </c:pt>
                <c:pt idx="18">
                  <c:v>42504.964152656219</c:v>
                </c:pt>
                <c:pt idx="19">
                  <c:v>40605.524555607066</c:v>
                </c:pt>
                <c:pt idx="20">
                  <c:v>38706.084958557913</c:v>
                </c:pt>
                <c:pt idx="21">
                  <c:v>36806.645361508759</c:v>
                </c:pt>
                <c:pt idx="22">
                  <c:v>34907.205764459606</c:v>
                </c:pt>
                <c:pt idx="23">
                  <c:v>33007.766167410453</c:v>
                </c:pt>
                <c:pt idx="24">
                  <c:v>31108.326570361296</c:v>
                </c:pt>
                <c:pt idx="25">
                  <c:v>29208.886973312139</c:v>
                </c:pt>
                <c:pt idx="26">
                  <c:v>27309.447376262982</c:v>
                </c:pt>
                <c:pt idx="27">
                  <c:v>25410.007779213825</c:v>
                </c:pt>
                <c:pt idx="28">
                  <c:v>23510.568182164669</c:v>
                </c:pt>
                <c:pt idx="29">
                  <c:v>21611.128585115486</c:v>
                </c:pt>
              </c:numCache>
            </c:numRef>
          </c:val>
          <c:smooth val="0"/>
          <c:extLst>
            <c:ext xmlns:c16="http://schemas.microsoft.com/office/drawing/2014/chart" uri="{C3380CC4-5D6E-409C-BE32-E72D297353CC}">
              <c16:uniqueId val="{00000003-7AF2-431B-9A8C-9A549E9FB619}"/>
            </c:ext>
          </c:extLst>
        </c:ser>
        <c:ser>
          <c:idx val="2"/>
          <c:order val="2"/>
          <c:tx>
            <c:v>IPCC 1.5 high emissions</c:v>
          </c:tx>
          <c:spPr>
            <a:ln w="28575" cap="rnd">
              <a:solidFill>
                <a:srgbClr val="00ACD3"/>
              </a:solidFill>
              <a:round/>
            </a:ln>
            <a:effectLst/>
          </c:spPr>
          <c:marker>
            <c:symbol val="none"/>
          </c:marker>
          <c:val>
            <c:numRef>
              <c:f>Graphs!$S$34:$S$63</c:f>
              <c:numCache>
                <c:formatCode>General</c:formatCode>
                <c:ptCount val="30"/>
                <c:pt idx="9">
                  <c:v>59599.920526098598</c:v>
                </c:pt>
                <c:pt idx="10">
                  <c:v>58434.976389567462</c:v>
                </c:pt>
                <c:pt idx="11">
                  <c:v>57270.032253036326</c:v>
                </c:pt>
                <c:pt idx="12">
                  <c:v>56105.088116505191</c:v>
                </c:pt>
                <c:pt idx="13">
                  <c:v>54940.143979974055</c:v>
                </c:pt>
                <c:pt idx="14">
                  <c:v>53775.199843442919</c:v>
                </c:pt>
                <c:pt idx="15">
                  <c:v>52610.255706911783</c:v>
                </c:pt>
                <c:pt idx="16">
                  <c:v>51445.311570380647</c:v>
                </c:pt>
                <c:pt idx="17">
                  <c:v>50280.367433849511</c:v>
                </c:pt>
                <c:pt idx="18">
                  <c:v>49115.423297318375</c:v>
                </c:pt>
                <c:pt idx="19">
                  <c:v>47950.479160787239</c:v>
                </c:pt>
                <c:pt idx="20">
                  <c:v>46785.535024256103</c:v>
                </c:pt>
                <c:pt idx="21">
                  <c:v>45620.590887724968</c:v>
                </c:pt>
                <c:pt idx="22">
                  <c:v>44455.646751193832</c:v>
                </c:pt>
                <c:pt idx="23">
                  <c:v>43290.702614662696</c:v>
                </c:pt>
                <c:pt idx="24">
                  <c:v>42125.75847813156</c:v>
                </c:pt>
                <c:pt idx="25">
                  <c:v>40960.814341600424</c:v>
                </c:pt>
                <c:pt idx="26">
                  <c:v>39795.870205069288</c:v>
                </c:pt>
                <c:pt idx="27">
                  <c:v>38630.926068538152</c:v>
                </c:pt>
                <c:pt idx="28">
                  <c:v>37465.981932007016</c:v>
                </c:pt>
                <c:pt idx="29">
                  <c:v>36301.037795475902</c:v>
                </c:pt>
              </c:numCache>
            </c:numRef>
          </c:val>
          <c:smooth val="0"/>
          <c:extLst>
            <c:ext xmlns:c16="http://schemas.microsoft.com/office/drawing/2014/chart" uri="{C3380CC4-5D6E-409C-BE32-E72D297353CC}">
              <c16:uniqueId val="{00000005-7AF2-431B-9A8C-9A549E9FB619}"/>
            </c:ext>
          </c:extLst>
        </c:ser>
        <c:ser>
          <c:idx val="3"/>
          <c:order val="3"/>
          <c:tx>
            <c:v>Demonstration path to 2035</c:v>
          </c:tx>
          <c:spPr>
            <a:ln w="28575" cap="rnd">
              <a:solidFill>
                <a:srgbClr val="003A5D"/>
              </a:solidFill>
              <a:round/>
            </a:ln>
            <a:effectLst/>
          </c:spPr>
          <c:marker>
            <c:symbol val="none"/>
          </c:marker>
          <c:val>
            <c:numRef>
              <c:f>Graphs!$J$34:$J$63</c:f>
              <c:numCache>
                <c:formatCode>General</c:formatCode>
                <c:ptCount val="30"/>
                <c:pt idx="0">
                  <c:v>71501.083903294319</c:v>
                </c:pt>
                <c:pt idx="1">
                  <c:v>71727.27837623714</c:v>
                </c:pt>
                <c:pt idx="2">
                  <c:v>70737.872774573712</c:v>
                </c:pt>
                <c:pt idx="3">
                  <c:v>69622.508706453766</c:v>
                </c:pt>
                <c:pt idx="4">
                  <c:v>65928.276737372493</c:v>
                </c:pt>
                <c:pt idx="5">
                  <c:v>63702.761088065759</c:v>
                </c:pt>
                <c:pt idx="6">
                  <c:v>62022.252305368464</c:v>
                </c:pt>
                <c:pt idx="7">
                  <c:v>59940.987101625222</c:v>
                </c:pt>
                <c:pt idx="8">
                  <c:v>57814.235911186828</c:v>
                </c:pt>
                <c:pt idx="9">
                  <c:v>54834.483516737018</c:v>
                </c:pt>
                <c:pt idx="10">
                  <c:v>52557.291903792087</c:v>
                </c:pt>
                <c:pt idx="11">
                  <c:v>50224.802562132892</c:v>
                </c:pt>
                <c:pt idx="12">
                  <c:v>47918.713579907082</c:v>
                </c:pt>
                <c:pt idx="13">
                  <c:v>45691.344267740496</c:v>
                </c:pt>
                <c:pt idx="14">
                  <c:v>43317.107361900649</c:v>
                </c:pt>
              </c:numCache>
            </c:numRef>
          </c:val>
          <c:smooth val="0"/>
          <c:extLst>
            <c:ext xmlns:c16="http://schemas.microsoft.com/office/drawing/2014/chart" uri="{C3380CC4-5D6E-409C-BE32-E72D297353CC}">
              <c16:uniqueId val="{00000006-7AF2-431B-9A8C-9A549E9FB619}"/>
            </c:ext>
          </c:extLst>
        </c:ser>
        <c:ser>
          <c:idx val="4"/>
          <c:order val="4"/>
          <c:tx>
            <c:v>CPR net emissions</c:v>
          </c:tx>
          <c:spPr>
            <a:ln w="28575" cap="rnd">
              <a:solidFill>
                <a:srgbClr val="EF4D7F"/>
              </a:solidFill>
              <a:prstDash val="solid"/>
              <a:round/>
            </a:ln>
            <a:effectLst/>
          </c:spPr>
          <c:marker>
            <c:symbol val="none"/>
          </c:marker>
          <c:val>
            <c:numRef>
              <c:f>Graphs!$H$34:$H$63</c:f>
              <c:numCache>
                <c:formatCode>General</c:formatCode>
                <c:ptCount val="30"/>
                <c:pt idx="0">
                  <c:v>72069.381684343025</c:v>
                </c:pt>
                <c:pt idx="1">
                  <c:v>72782.749799677506</c:v>
                </c:pt>
                <c:pt idx="2">
                  <c:v>72517.802211976683</c:v>
                </c:pt>
                <c:pt idx="3">
                  <c:v>72016.899119239664</c:v>
                </c:pt>
                <c:pt idx="4">
                  <c:v>68830.750969339439</c:v>
                </c:pt>
                <c:pt idx="5">
                  <c:v>68119.790398987156</c:v>
                </c:pt>
                <c:pt idx="6">
                  <c:v>67322.033321288909</c:v>
                </c:pt>
                <c:pt idx="7">
                  <c:v>66468.174847685004</c:v>
                </c:pt>
                <c:pt idx="8">
                  <c:v>65744.30736055343</c:v>
                </c:pt>
                <c:pt idx="9">
                  <c:v>64481.443661286277</c:v>
                </c:pt>
                <c:pt idx="10">
                  <c:v>63824.580623750968</c:v>
                </c:pt>
                <c:pt idx="11">
                  <c:v>62951.135033731072</c:v>
                </c:pt>
                <c:pt idx="12">
                  <c:v>62123.238809040697</c:v>
                </c:pt>
                <c:pt idx="13">
                  <c:v>61313.619243674679</c:v>
                </c:pt>
                <c:pt idx="14">
                  <c:v>60293.426630425092</c:v>
                </c:pt>
                <c:pt idx="15">
                  <c:v>58936.586295876157</c:v>
                </c:pt>
                <c:pt idx="16">
                  <c:v>56881.998385487343</c:v>
                </c:pt>
                <c:pt idx="17">
                  <c:v>55364.284506854558</c:v>
                </c:pt>
                <c:pt idx="18">
                  <c:v>53761.035836884272</c:v>
                </c:pt>
                <c:pt idx="19">
                  <c:v>51561.129998224133</c:v>
                </c:pt>
                <c:pt idx="20">
                  <c:v>50073.162402492308</c:v>
                </c:pt>
                <c:pt idx="21">
                  <c:v>48879.004362633379</c:v>
                </c:pt>
                <c:pt idx="22">
                  <c:v>48004.863126496843</c:v>
                </c:pt>
                <c:pt idx="23">
                  <c:v>47146.813060343171</c:v>
                </c:pt>
                <c:pt idx="24">
                  <c:v>46116.112641469022</c:v>
                </c:pt>
                <c:pt idx="25">
                  <c:v>44875.648131597998</c:v>
                </c:pt>
                <c:pt idx="26">
                  <c:v>43648.894849496974</c:v>
                </c:pt>
                <c:pt idx="27">
                  <c:v>42427.383000021669</c:v>
                </c:pt>
                <c:pt idx="28">
                  <c:v>41170.8691962335</c:v>
                </c:pt>
                <c:pt idx="29">
                  <c:v>39643.07147722684</c:v>
                </c:pt>
              </c:numCache>
            </c:numRef>
          </c:val>
          <c:smooth val="0"/>
          <c:extLst>
            <c:ext xmlns:c16="http://schemas.microsoft.com/office/drawing/2014/chart" uri="{C3380CC4-5D6E-409C-BE32-E72D297353CC}">
              <c16:uniqueId val="{00000001-1868-4A92-B8F3-39513EDB0CC5}"/>
            </c:ext>
          </c:extLst>
        </c:ser>
        <c:ser>
          <c:idx val="5"/>
          <c:order val="5"/>
          <c:tx>
            <c:v>Demonstration path to 2050</c:v>
          </c:tx>
          <c:spPr>
            <a:ln w="28575" cap="rnd">
              <a:solidFill>
                <a:srgbClr val="003A5D"/>
              </a:solidFill>
              <a:prstDash val="dash"/>
              <a:round/>
            </a:ln>
            <a:effectLst/>
          </c:spPr>
          <c:marker>
            <c:symbol val="none"/>
          </c:marker>
          <c:val>
            <c:numRef>
              <c:f>Graphs!$K$34:$K$63</c:f>
              <c:numCache>
                <c:formatCode>General</c:formatCode>
                <c:ptCount val="30"/>
                <c:pt idx="14">
                  <c:v>43317.107361900649</c:v>
                </c:pt>
                <c:pt idx="15">
                  <c:v>40658.825982217211</c:v>
                </c:pt>
                <c:pt idx="16">
                  <c:v>37805.203148331937</c:v>
                </c:pt>
                <c:pt idx="17">
                  <c:v>35225.547384867867</c:v>
                </c:pt>
                <c:pt idx="18">
                  <c:v>32718.370328216981</c:v>
                </c:pt>
                <c:pt idx="19">
                  <c:v>29842.833840660562</c:v>
                </c:pt>
                <c:pt idx="20">
                  <c:v>28036.25951644923</c:v>
                </c:pt>
                <c:pt idx="21">
                  <c:v>26617.950864448099</c:v>
                </c:pt>
                <c:pt idx="22">
                  <c:v>25487.52417057467</c:v>
                </c:pt>
                <c:pt idx="23">
                  <c:v>24403.98341498178</c:v>
                </c:pt>
                <c:pt idx="24">
                  <c:v>23425.947592946879</c:v>
                </c:pt>
                <c:pt idx="25">
                  <c:v>22351.67741242515</c:v>
                </c:pt>
                <c:pt idx="26">
                  <c:v>21462.727920249079</c:v>
                </c:pt>
                <c:pt idx="27">
                  <c:v>20737.472640968201</c:v>
                </c:pt>
                <c:pt idx="28">
                  <c:v>20036.39236687206</c:v>
                </c:pt>
                <c:pt idx="29">
                  <c:v>19404.684482154418</c:v>
                </c:pt>
              </c:numCache>
            </c:numRef>
          </c:val>
          <c:smooth val="0"/>
          <c:extLst>
            <c:ext xmlns:c16="http://schemas.microsoft.com/office/drawing/2014/chart" uri="{C3380CC4-5D6E-409C-BE32-E72D297353CC}">
              <c16:uniqueId val="{00000002-1868-4A92-B8F3-39513EDB0CC5}"/>
            </c:ext>
          </c:extLst>
        </c:ser>
        <c:dLbls>
          <c:showLegendKey val="0"/>
          <c:showVal val="0"/>
          <c:showCatName val="0"/>
          <c:showSerName val="0"/>
          <c:showPercent val="0"/>
          <c:showBubbleSize val="0"/>
        </c:dLbls>
        <c:marker val="1"/>
        <c:smooth val="0"/>
        <c:axId val="546947696"/>
        <c:axId val="487838272"/>
      </c:lineChart>
      <c:catAx>
        <c:axId val="546947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7838272"/>
        <c:crosses val="autoZero"/>
        <c:auto val="1"/>
        <c:lblAlgn val="ctr"/>
        <c:lblOffset val="100"/>
        <c:noMultiLvlLbl val="0"/>
      </c:catAx>
      <c:valAx>
        <c:axId val="4878382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a:t>Mt CO</a:t>
                </a:r>
                <a:r>
                  <a:rPr lang="en-NZ" baseline="-25000"/>
                  <a:t>2</a:t>
                </a:r>
                <a:r>
                  <a:rPr lang="en-NZ"/>
                  <a:t>-e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6947696"/>
        <c:crosses val="autoZero"/>
        <c:crossBetween val="between"/>
        <c:dispUnits>
          <c:builtInUnit val="thousands"/>
        </c:dispUnits>
      </c:valAx>
      <c:spPr>
        <a:noFill/>
        <a:ln>
          <a:noFill/>
        </a:ln>
        <a:effectLst/>
      </c:spPr>
    </c:plotArea>
    <c:legend>
      <c:legendPos val="b"/>
      <c:layout>
        <c:manualLayout>
          <c:xMode val="edge"/>
          <c:yMode val="edge"/>
          <c:x val="0.11524431473206276"/>
          <c:y val="0.88839597902575007"/>
          <c:w val="0.66631844000790541"/>
          <c:h val="8.94219854974026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641308230485214E-2"/>
          <c:y val="4.1821110793273206E-2"/>
          <c:w val="0.89696273561967388"/>
          <c:h val="0.687455674159277"/>
        </c:manualLayout>
      </c:layout>
      <c:barChart>
        <c:barDir val="col"/>
        <c:grouping val="clustered"/>
        <c:varyColors val="0"/>
        <c:ser>
          <c:idx val="5"/>
          <c:order val="8"/>
          <c:tx>
            <c:strRef>
              <c:f>'MfE Target accounting emissions'!$A$20</c:f>
              <c:strCache>
                <c:ptCount val="1"/>
                <c:pt idx="0">
                  <c:v>Kyoto Protocol target (2008–2012)</c:v>
                </c:pt>
              </c:strCache>
            </c:strRef>
          </c:tx>
          <c:spPr>
            <a:solidFill>
              <a:srgbClr val="1C556C"/>
            </a:solidFill>
            <a:ln>
              <a:noFill/>
            </a:ln>
            <a:effectLst/>
          </c:spPr>
          <c:invertIfNegative val="0"/>
          <c:cat>
            <c:numRef>
              <c:f>'MfE Target accounting emissions'!$B$12:$BJ$12</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'MfE Target accounting emissions'!$B$20:$BJ$20</c:f>
              <c:numCache>
                <c:formatCode>0.00</c:formatCode>
                <c:ptCount val="61"/>
                <c:pt idx="18">
                  <c:v>66.45</c:v>
                </c:pt>
                <c:pt idx="19">
                  <c:v>66.45</c:v>
                </c:pt>
                <c:pt idx="20">
                  <c:v>66.45</c:v>
                </c:pt>
                <c:pt idx="21">
                  <c:v>66.45</c:v>
                </c:pt>
                <c:pt idx="22">
                  <c:v>66.45</c:v>
                </c:pt>
              </c:numCache>
            </c:numRef>
          </c:val>
          <c:extLst>
            <c:ext xmlns:c16="http://schemas.microsoft.com/office/drawing/2014/chart" uri="{C3380CC4-5D6E-409C-BE32-E72D297353CC}">
              <c16:uniqueId val="{00000000-8DDA-4F59-9DF4-1E3784FFFE78}"/>
            </c:ext>
          </c:extLst>
        </c:ser>
        <c:ser>
          <c:idx val="6"/>
          <c:order val="9"/>
          <c:tx>
            <c:strRef>
              <c:f>'MfE Target accounting emissions'!$A$21</c:f>
              <c:strCache>
                <c:ptCount val="1"/>
                <c:pt idx="0">
                  <c:v>Current UNFCCC target (2013–2020)</c:v>
                </c:pt>
              </c:strCache>
            </c:strRef>
          </c:tx>
          <c:spPr>
            <a:solidFill>
              <a:srgbClr val="0F7B7D"/>
            </a:solidFill>
            <a:ln>
              <a:noFill/>
            </a:ln>
            <a:effectLst/>
          </c:spPr>
          <c:invertIfNegative val="0"/>
          <c:cat>
            <c:numRef>
              <c:f>'MfE Target accounting emissions'!$B$12:$BJ$12</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'MfE Target accounting emissions'!$B$21:$BJ$21</c:f>
              <c:numCache>
                <c:formatCode>0.00</c:formatCode>
                <c:ptCount val="61"/>
                <c:pt idx="23">
                  <c:v>63.725000000000001</c:v>
                </c:pt>
                <c:pt idx="24">
                  <c:v>63.725000000000001</c:v>
                </c:pt>
                <c:pt idx="25">
                  <c:v>63.725000000000001</c:v>
                </c:pt>
                <c:pt idx="26">
                  <c:v>63.725000000000001</c:v>
                </c:pt>
                <c:pt idx="27">
                  <c:v>63.725000000000001</c:v>
                </c:pt>
                <c:pt idx="28">
                  <c:v>63.725000000000001</c:v>
                </c:pt>
                <c:pt idx="29">
                  <c:v>63.725000000000001</c:v>
                </c:pt>
                <c:pt idx="30">
                  <c:v>63.725000000000001</c:v>
                </c:pt>
              </c:numCache>
            </c:numRef>
          </c:val>
          <c:extLst>
            <c:ext xmlns:c16="http://schemas.microsoft.com/office/drawing/2014/chart" uri="{C3380CC4-5D6E-409C-BE32-E72D297353CC}">
              <c16:uniqueId val="{00000001-8DDA-4F59-9DF4-1E3784FFFE78}"/>
            </c:ext>
          </c:extLst>
        </c:ser>
        <c:ser>
          <c:idx val="7"/>
          <c:order val="10"/>
          <c:tx>
            <c:strRef>
              <c:f>'MfE Target accounting emissions'!$A$22</c:f>
              <c:strCache>
                <c:ptCount val="1"/>
                <c:pt idx="0">
                  <c:v>Paris NDC target (2021–2030) (indicative value)</c:v>
                </c:pt>
              </c:strCache>
            </c:strRef>
          </c:tx>
          <c:spPr>
            <a:solidFill>
              <a:srgbClr val="32809C"/>
            </a:solidFill>
            <a:ln>
              <a:noFill/>
            </a:ln>
            <a:effectLst/>
          </c:spPr>
          <c:invertIfNegative val="0"/>
          <c:cat>
            <c:numRef>
              <c:f>'MfE Target accounting emissions'!$B$12:$BJ$12</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'MfE Target accounting emissions'!$B$22:$BJ$22</c:f>
              <c:numCache>
                <c:formatCode>0.00</c:formatCode>
                <c:ptCount val="61"/>
                <c:pt idx="31">
                  <c:v>60.1</c:v>
                </c:pt>
                <c:pt idx="32">
                  <c:v>60.1</c:v>
                </c:pt>
                <c:pt idx="33">
                  <c:v>60.1</c:v>
                </c:pt>
                <c:pt idx="34">
                  <c:v>60.1</c:v>
                </c:pt>
                <c:pt idx="35">
                  <c:v>60.1</c:v>
                </c:pt>
                <c:pt idx="36">
                  <c:v>60.1</c:v>
                </c:pt>
                <c:pt idx="37">
                  <c:v>60.1</c:v>
                </c:pt>
                <c:pt idx="38">
                  <c:v>60.1</c:v>
                </c:pt>
                <c:pt idx="39">
                  <c:v>60.1</c:v>
                </c:pt>
                <c:pt idx="40">
                  <c:v>60.1</c:v>
                </c:pt>
              </c:numCache>
            </c:numRef>
          </c:val>
          <c:extLst>
            <c:ext xmlns:c16="http://schemas.microsoft.com/office/drawing/2014/chart" uri="{C3380CC4-5D6E-409C-BE32-E72D297353CC}">
              <c16:uniqueId val="{00000002-8DDA-4F59-9DF4-1E3784FFFE78}"/>
            </c:ext>
          </c:extLst>
        </c:ser>
        <c:dLbls>
          <c:showLegendKey val="0"/>
          <c:showVal val="0"/>
          <c:showCatName val="0"/>
          <c:showSerName val="0"/>
          <c:showPercent val="0"/>
          <c:showBubbleSize val="0"/>
        </c:dLbls>
        <c:gapWidth val="0"/>
        <c:overlap val="100"/>
        <c:axId val="610230528"/>
        <c:axId val="610226592"/>
      </c:barChart>
      <c:barChart>
        <c:barDir val="col"/>
        <c:grouping val="stacked"/>
        <c:varyColors val="0"/>
        <c:ser>
          <c:idx val="10"/>
          <c:order val="7"/>
          <c:tx>
            <c:strRef>
              <c:f>'MfE Target accounting emissions'!$A$26</c:f>
              <c:strCache>
                <c:ptCount val="1"/>
                <c:pt idx="0">
                  <c:v>Zero Carbon Act 2050 target</c:v>
                </c:pt>
              </c:strCache>
            </c:strRef>
          </c:tx>
          <c:spPr>
            <a:solidFill>
              <a:srgbClr val="FF0000"/>
            </a:solidFill>
            <a:ln w="25400">
              <a:noFill/>
            </a:ln>
            <a:effectLst/>
          </c:spPr>
          <c:invertIfNegative val="0"/>
          <c:dPt>
            <c:idx val="60"/>
            <c:invertIfNegative val="0"/>
            <c:bubble3D val="0"/>
            <c:spPr>
              <a:noFill/>
              <a:ln w="25400">
                <a:noFill/>
              </a:ln>
              <a:effectLst/>
            </c:spPr>
            <c:extLst>
              <c:ext xmlns:c16="http://schemas.microsoft.com/office/drawing/2014/chart" uri="{C3380CC4-5D6E-409C-BE32-E72D297353CC}">
                <c16:uniqueId val="{00000004-8DDA-4F59-9DF4-1E3784FFFE78}"/>
              </c:ext>
            </c:extLst>
          </c:dPt>
          <c:cat>
            <c:numRef>
              <c:f>'MfE Target accounting emissions'!$B$12:$BJ$12</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'MfE Target accounting emissions'!$B$25:$BJ$25</c:f>
              <c:numCache>
                <c:formatCode>0.00</c:formatCode>
                <c:ptCount val="61"/>
                <c:pt idx="60">
                  <c:v>17.560503948615324</c:v>
                </c:pt>
              </c:numCache>
            </c:numRef>
          </c:val>
          <c:extLst>
            <c:ext xmlns:c16="http://schemas.microsoft.com/office/drawing/2014/chart" uri="{C3380CC4-5D6E-409C-BE32-E72D297353CC}">
              <c16:uniqueId val="{00000005-8DDA-4F59-9DF4-1E3784FFFE78}"/>
            </c:ext>
          </c:extLst>
        </c:ser>
        <c:ser>
          <c:idx val="11"/>
          <c:order val="11"/>
          <c:tx>
            <c:strRef>
              <c:f>'MfE Target accounting emissions'!$A$26</c:f>
              <c:strCache>
                <c:ptCount val="1"/>
                <c:pt idx="0">
                  <c:v>Zero Carbon Act 2050 target</c:v>
                </c:pt>
              </c:strCache>
            </c:strRef>
          </c:tx>
          <c:spPr>
            <a:solidFill>
              <a:srgbClr val="FF0000"/>
            </a:solidFill>
            <a:ln w="25400">
              <a:noFill/>
            </a:ln>
            <a:effectLst/>
          </c:spPr>
          <c:invertIfNegative val="0"/>
          <c:dPt>
            <c:idx val="60"/>
            <c:invertIfNegative val="0"/>
            <c:bubble3D val="0"/>
            <c:spPr>
              <a:solidFill>
                <a:srgbClr val="FF0000"/>
              </a:solidFill>
              <a:ln w="25400">
                <a:solidFill>
                  <a:srgbClr val="FF0000"/>
                </a:solidFill>
              </a:ln>
              <a:effectLst/>
            </c:spPr>
            <c:extLst>
              <c:ext xmlns:c16="http://schemas.microsoft.com/office/drawing/2014/chart" uri="{C3380CC4-5D6E-409C-BE32-E72D297353CC}">
                <c16:uniqueId val="{00000007-8DDA-4F59-9DF4-1E3784FFFE78}"/>
              </c:ext>
            </c:extLst>
          </c:dPt>
          <c:cat>
            <c:numRef>
              <c:f>'MfE Target accounting emissions'!$B$12:$BJ$12</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'MfE Target accounting emissions'!$B$26:$BJ$26</c:f>
              <c:numCache>
                <c:formatCode>0.00</c:formatCode>
                <c:ptCount val="61"/>
                <c:pt idx="60">
                  <c:v>7.6205960531726902</c:v>
                </c:pt>
              </c:numCache>
            </c:numRef>
          </c:val>
          <c:extLst>
            <c:ext xmlns:c16="http://schemas.microsoft.com/office/drawing/2014/chart" uri="{C3380CC4-5D6E-409C-BE32-E72D297353CC}">
              <c16:uniqueId val="{00000008-8DDA-4F59-9DF4-1E3784FFFE78}"/>
            </c:ext>
          </c:extLst>
        </c:ser>
        <c:dLbls>
          <c:showLegendKey val="0"/>
          <c:showVal val="0"/>
          <c:showCatName val="0"/>
          <c:showSerName val="0"/>
          <c:showPercent val="0"/>
          <c:showBubbleSize val="0"/>
        </c:dLbls>
        <c:gapWidth val="60"/>
        <c:overlap val="100"/>
        <c:axId val="494483704"/>
        <c:axId val="494482720"/>
      </c:barChart>
      <c:lineChart>
        <c:grouping val="standard"/>
        <c:varyColors val="0"/>
        <c:ser>
          <c:idx val="0"/>
          <c:order val="0"/>
          <c:tx>
            <c:strRef>
              <c:f>'MfE Target accounting emissions'!$A$13</c:f>
              <c:strCache>
                <c:ptCount val="1"/>
                <c:pt idx="0">
                  <c:v>Gross emissions</c:v>
                </c:pt>
              </c:strCache>
            </c:strRef>
          </c:tx>
          <c:spPr>
            <a:ln w="28575" cap="rnd">
              <a:solidFill>
                <a:srgbClr val="0F7B7D"/>
              </a:solidFill>
              <a:round/>
            </a:ln>
            <a:effectLst/>
          </c:spPr>
          <c:marker>
            <c:symbol val="none"/>
          </c:marker>
          <c:cat>
            <c:numRef>
              <c:f>'MfE Target accounting emissions'!$B$12:$BJ$12</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'MfE Target accounting emissions'!$B$13:$BJ$13</c:f>
              <c:numCache>
                <c:formatCode>0.00</c:formatCode>
                <c:ptCount val="61"/>
                <c:pt idx="0">
                  <c:v>63.590926524080409</c:v>
                </c:pt>
                <c:pt idx="1">
                  <c:v>64.453521960972708</c:v>
                </c:pt>
                <c:pt idx="2">
                  <c:v>65.668775124892306</c:v>
                </c:pt>
                <c:pt idx="3">
                  <c:v>65.433403580588404</c:v>
                </c:pt>
                <c:pt idx="4">
                  <c:v>66.67918216551729</c:v>
                </c:pt>
                <c:pt idx="5">
                  <c:v>67.426240107162741</c:v>
                </c:pt>
                <c:pt idx="6">
                  <c:v>69.549337110555655</c:v>
                </c:pt>
                <c:pt idx="7">
                  <c:v>72.259275224995875</c:v>
                </c:pt>
                <c:pt idx="8">
                  <c:v>70.221375713444942</c:v>
                </c:pt>
                <c:pt idx="9">
                  <c:v>72.059932391739665</c:v>
                </c:pt>
                <c:pt idx="10">
                  <c:v>74.103082180793436</c:v>
                </c:pt>
                <c:pt idx="11">
                  <c:v>77.105363899831701</c:v>
                </c:pt>
                <c:pt idx="12">
                  <c:v>77.474955843169923</c:v>
                </c:pt>
                <c:pt idx="13">
                  <c:v>79.643612378002345</c:v>
                </c:pt>
                <c:pt idx="14">
                  <c:v>79.294828929166911</c:v>
                </c:pt>
                <c:pt idx="15">
                  <c:v>81.274417557164213</c:v>
                </c:pt>
                <c:pt idx="16">
                  <c:v>81.455211834860748</c:v>
                </c:pt>
                <c:pt idx="17">
                  <c:v>79.41557505446201</c:v>
                </c:pt>
                <c:pt idx="18">
                  <c:v>79.526331998013589</c:v>
                </c:pt>
                <c:pt idx="19">
                  <c:v>76.771183483217499</c:v>
                </c:pt>
                <c:pt idx="20">
                  <c:v>77.267807182308118</c:v>
                </c:pt>
                <c:pt idx="21">
                  <c:v>76.975487393666086</c:v>
                </c:pt>
                <c:pt idx="22">
                  <c:v>79.40157714838638</c:v>
                </c:pt>
                <c:pt idx="23">
                  <c:v>78.80491301626293</c:v>
                </c:pt>
                <c:pt idx="24">
                  <c:v>79.449842118199044</c:v>
                </c:pt>
                <c:pt idx="25">
                  <c:v>79.493714281608263</c:v>
                </c:pt>
                <c:pt idx="26">
                  <c:v>77.623307234296774</c:v>
                </c:pt>
                <c:pt idx="27">
                  <c:v>79.64086394894106</c:v>
                </c:pt>
                <c:pt idx="28">
                  <c:v>78.862288179606423</c:v>
                </c:pt>
                <c:pt idx="29">
                  <c:v>79.394488452251082</c:v>
                </c:pt>
                <c:pt idx="30">
                  <c:v>75.292538695015594</c:v>
                </c:pt>
                <c:pt idx="31">
                  <c:v>75.41634092625128</c:v>
                </c:pt>
                <c:pt idx="32">
                  <c:v>75.463081515018658</c:v>
                </c:pt>
                <c:pt idx="33">
                  <c:v>74.917754837868941</c:v>
                </c:pt>
                <c:pt idx="34">
                  <c:v>75.029252973566273</c:v>
                </c:pt>
                <c:pt idx="35">
                  <c:v>73.496315817787476</c:v>
                </c:pt>
                <c:pt idx="36">
                  <c:v>73.277765266293756</c:v>
                </c:pt>
                <c:pt idx="37">
                  <c:v>72.868343259966466</c:v>
                </c:pt>
                <c:pt idx="38">
                  <c:v>72.575783958284759</c:v>
                </c:pt>
                <c:pt idx="39">
                  <c:v>72.391876266861956</c:v>
                </c:pt>
                <c:pt idx="40">
                  <c:v>71.429951840374486</c:v>
                </c:pt>
                <c:pt idx="41">
                  <c:v>70.507997988848203</c:v>
                </c:pt>
                <c:pt idx="42">
                  <c:v>70.144890886434894</c:v>
                </c:pt>
                <c:pt idx="43">
                  <c:v>69.675237839861481</c:v>
                </c:pt>
                <c:pt idx="44">
                  <c:v>69.036227597767564</c:v>
                </c:pt>
                <c:pt idx="45">
                  <c:v>68.626678202024294</c:v>
                </c:pt>
                <c:pt idx="46">
                  <c:v>68.266933532730917</c:v>
                </c:pt>
                <c:pt idx="47">
                  <c:v>67.89103756918675</c:v>
                </c:pt>
                <c:pt idx="48">
                  <c:v>67.140642985374768</c:v>
                </c:pt>
                <c:pt idx="49">
                  <c:v>66.67079844936481</c:v>
                </c:pt>
                <c:pt idx="50">
                  <c:v>66.406195272458902</c:v>
                </c:pt>
                <c:pt idx="51">
                  <c:v>66.085130864942172</c:v>
                </c:pt>
                <c:pt idx="52">
                  <c:v>65.894253558568849</c:v>
                </c:pt>
                <c:pt idx="53">
                  <c:v>65.585792690897563</c:v>
                </c:pt>
                <c:pt idx="54">
                  <c:v>65.266731214644452</c:v>
                </c:pt>
                <c:pt idx="55">
                  <c:v>64.783690563335114</c:v>
                </c:pt>
                <c:pt idx="56">
                  <c:v>64.383234509792501</c:v>
                </c:pt>
                <c:pt idx="57">
                  <c:v>64.209886885453045</c:v>
                </c:pt>
                <c:pt idx="58">
                  <c:v>63.911819488907781</c:v>
                </c:pt>
                <c:pt idx="59">
                  <c:v>63.588983001708634</c:v>
                </c:pt>
                <c:pt idx="60">
                  <c:v>63.347493086388504</c:v>
                </c:pt>
              </c:numCache>
            </c:numRef>
          </c:val>
          <c:smooth val="0"/>
          <c:extLst>
            <c:ext xmlns:c16="http://schemas.microsoft.com/office/drawing/2014/chart" uri="{C3380CC4-5D6E-409C-BE32-E72D297353CC}">
              <c16:uniqueId val="{00000009-8DDA-4F59-9DF4-1E3784FFFE78}"/>
            </c:ext>
          </c:extLst>
        </c:ser>
        <c:ser>
          <c:idx val="1"/>
          <c:order val="1"/>
          <c:tx>
            <c:strRef>
              <c:f>'MfE Target accounting emissions'!$A$15</c:f>
              <c:strCache>
                <c:ptCount val="1"/>
                <c:pt idx="0">
                  <c:v>Target accounting emissions</c:v>
                </c:pt>
              </c:strCache>
            </c:strRef>
          </c:tx>
          <c:spPr>
            <a:ln w="28575" cap="rnd">
              <a:solidFill>
                <a:srgbClr val="6FC7B7"/>
              </a:solidFill>
              <a:round/>
            </a:ln>
            <a:effectLst/>
          </c:spPr>
          <c:marker>
            <c:symbol val="none"/>
          </c:marker>
          <c:cat>
            <c:numRef>
              <c:f>'MfE Target accounting emissions'!$B$12:$BJ$12</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'MfE Target accounting emissions'!$B$15:$BJ$15</c:f>
              <c:numCache>
                <c:formatCode>0.00</c:formatCode>
                <c:ptCount val="61"/>
                <c:pt idx="18">
                  <c:v>65.793741808639069</c:v>
                </c:pt>
                <c:pt idx="19">
                  <c:v>64.985813905534343</c:v>
                </c:pt>
                <c:pt idx="20">
                  <c:v>66.399511675677061</c:v>
                </c:pt>
                <c:pt idx="21">
                  <c:v>64.740307270421837</c:v>
                </c:pt>
                <c:pt idx="22">
                  <c:v>68.53637958682171</c:v>
                </c:pt>
              </c:numCache>
            </c:numRef>
          </c:val>
          <c:smooth val="0"/>
          <c:extLst>
            <c:ext xmlns:c16="http://schemas.microsoft.com/office/drawing/2014/chart" uri="{C3380CC4-5D6E-409C-BE32-E72D297353CC}">
              <c16:uniqueId val="{0000000A-8DDA-4F59-9DF4-1E3784FFFE78}"/>
            </c:ext>
          </c:extLst>
        </c:ser>
        <c:ser>
          <c:idx val="2"/>
          <c:order val="2"/>
          <c:tx>
            <c:strRef>
              <c:f>'MfE Target accounting emissions'!$A$17</c:f>
              <c:strCache>
                <c:ptCount val="1"/>
                <c:pt idx="0">
                  <c:v>Target accounting emissions (2013–2020)</c:v>
                </c:pt>
              </c:strCache>
            </c:strRef>
          </c:tx>
          <c:spPr>
            <a:ln w="28575" cap="rnd">
              <a:solidFill>
                <a:srgbClr val="6FC7B7"/>
              </a:solidFill>
              <a:round/>
            </a:ln>
            <a:effectLst/>
          </c:spPr>
          <c:marker>
            <c:symbol val="none"/>
          </c:marker>
          <c:cat>
            <c:numRef>
              <c:f>'MfE Target accounting emissions'!$B$12:$BJ$12</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'MfE Target accounting emissions'!$B$17:$BJ$17</c:f>
              <c:numCache>
                <c:formatCode>0.00</c:formatCode>
                <c:ptCount val="61"/>
                <c:pt idx="22">
                  <c:v>68.53637958682171</c:v>
                </c:pt>
                <c:pt idx="23">
                  <c:v>70.784785779424382</c:v>
                </c:pt>
                <c:pt idx="24">
                  <c:v>67.28926107529233</c:v>
                </c:pt>
                <c:pt idx="25">
                  <c:v>65.063666248969625</c:v>
                </c:pt>
                <c:pt idx="26">
                  <c:v>61.651133530715299</c:v>
                </c:pt>
                <c:pt idx="27">
                  <c:v>63.824170517023347</c:v>
                </c:pt>
                <c:pt idx="28">
                  <c:v>63.411626771962922</c:v>
                </c:pt>
                <c:pt idx="29">
                  <c:v>65.874407245334936</c:v>
                </c:pt>
                <c:pt idx="30">
                  <c:v>62.667883407007821</c:v>
                </c:pt>
              </c:numCache>
            </c:numRef>
          </c:val>
          <c:smooth val="0"/>
          <c:extLst>
            <c:ext xmlns:c16="http://schemas.microsoft.com/office/drawing/2014/chart" uri="{C3380CC4-5D6E-409C-BE32-E72D297353CC}">
              <c16:uniqueId val="{0000000B-8DDA-4F59-9DF4-1E3784FFFE78}"/>
            </c:ext>
          </c:extLst>
        </c:ser>
        <c:ser>
          <c:idx val="3"/>
          <c:order val="3"/>
          <c:tx>
            <c:strRef>
              <c:f>'MfE Target accounting emissions'!$A$18</c:f>
              <c:strCache>
                <c:ptCount val="1"/>
                <c:pt idx="0">
                  <c:v>Target accounting emissions (2021–2030)</c:v>
                </c:pt>
              </c:strCache>
            </c:strRef>
          </c:tx>
          <c:spPr>
            <a:ln w="28575" cap="rnd">
              <a:solidFill>
                <a:srgbClr val="6FC7B7"/>
              </a:solidFill>
              <a:round/>
            </a:ln>
            <a:effectLst/>
          </c:spPr>
          <c:marker>
            <c:symbol val="none"/>
          </c:marker>
          <c:cat>
            <c:numRef>
              <c:f>'MfE Target accounting emissions'!$B$12:$BJ$12</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'MfE Target accounting emissions'!$B$18:$BJ$18</c:f>
              <c:numCache>
                <c:formatCode>0.00</c:formatCode>
                <c:ptCount val="61"/>
                <c:pt idx="31">
                  <c:v>68.919092923189254</c:v>
                </c:pt>
                <c:pt idx="32">
                  <c:v>69.282499931525848</c:v>
                </c:pt>
                <c:pt idx="33">
                  <c:v>69.097133409773505</c:v>
                </c:pt>
                <c:pt idx="34">
                  <c:v>69.113383720706693</c:v>
                </c:pt>
                <c:pt idx="35">
                  <c:v>67.243914512417263</c:v>
                </c:pt>
                <c:pt idx="36">
                  <c:v>66.328194055196391</c:v>
                </c:pt>
                <c:pt idx="37">
                  <c:v>65.093925032458714</c:v>
                </c:pt>
                <c:pt idx="38">
                  <c:v>63.940372789715688</c:v>
                </c:pt>
                <c:pt idx="39">
                  <c:v>62.968327806298475</c:v>
                </c:pt>
                <c:pt idx="40">
                  <c:v>61.333365440623453</c:v>
                </c:pt>
              </c:numCache>
            </c:numRef>
          </c:val>
          <c:smooth val="0"/>
          <c:extLst>
            <c:ext xmlns:c16="http://schemas.microsoft.com/office/drawing/2014/chart" uri="{C3380CC4-5D6E-409C-BE32-E72D297353CC}">
              <c16:uniqueId val="{0000000C-8DDA-4F59-9DF4-1E3784FFFE78}"/>
            </c:ext>
          </c:extLst>
        </c:ser>
        <c:ser>
          <c:idx val="4"/>
          <c:order val="4"/>
          <c:tx>
            <c:strRef>
              <c:f>'MfE Target accounting emissions'!$A$19</c:f>
              <c:strCache>
                <c:ptCount val="1"/>
                <c:pt idx="0">
                  <c:v>Post-2030 target accounting using NDC1 rules</c:v>
                </c:pt>
              </c:strCache>
            </c:strRef>
          </c:tx>
          <c:spPr>
            <a:ln w="28575" cap="rnd">
              <a:solidFill>
                <a:srgbClr val="6FC7B7"/>
              </a:solidFill>
              <a:prstDash val="sysDash"/>
              <a:round/>
            </a:ln>
            <a:effectLst/>
          </c:spPr>
          <c:marker>
            <c:symbol val="none"/>
          </c:marker>
          <c:cat>
            <c:numRef>
              <c:f>'MfE Target accounting emissions'!$B$12:$BJ$12</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cat>
          <c:val>
            <c:numRef>
              <c:f>'MfE Target accounting emissions'!$B$19:$BJ$19</c:f>
              <c:numCache>
                <c:formatCode>0.00</c:formatCode>
                <c:ptCount val="61"/>
                <c:pt idx="40">
                  <c:v>61.333365440623453</c:v>
                </c:pt>
                <c:pt idx="41">
                  <c:v>59.816954037887484</c:v>
                </c:pt>
                <c:pt idx="42">
                  <c:v>58.872688928932249</c:v>
                </c:pt>
                <c:pt idx="43">
                  <c:v>58.028088747257058</c:v>
                </c:pt>
                <c:pt idx="44">
                  <c:v>56.888934801730066</c:v>
                </c:pt>
                <c:pt idx="45">
                  <c:v>55.532879416949271</c:v>
                </c:pt>
                <c:pt idx="46">
                  <c:v>54.150040095026768</c:v>
                </c:pt>
                <c:pt idx="47">
                  <c:v>52.118521191403516</c:v>
                </c:pt>
                <c:pt idx="48">
                  <c:v>50.277350278721762</c:v>
                </c:pt>
                <c:pt idx="49">
                  <c:v>48.711047668611684</c:v>
                </c:pt>
                <c:pt idx="50">
                  <c:v>47.638355979407024</c:v>
                </c:pt>
                <c:pt idx="51">
                  <c:v>46.605276086672156</c:v>
                </c:pt>
                <c:pt idx="52">
                  <c:v>45.990882926800417</c:v>
                </c:pt>
                <c:pt idx="53">
                  <c:v>45.280040845017048</c:v>
                </c:pt>
                <c:pt idx="54">
                  <c:v>44.547643353325149</c:v>
                </c:pt>
                <c:pt idx="55">
                  <c:v>43.538565860189671</c:v>
                </c:pt>
                <c:pt idx="56">
                  <c:v>42.573405330551715</c:v>
                </c:pt>
                <c:pt idx="57">
                  <c:v>41.847145067320795</c:v>
                </c:pt>
                <c:pt idx="58">
                  <c:v>41.01883177169951</c:v>
                </c:pt>
                <c:pt idx="59">
                  <c:v>40.173850750720376</c:v>
                </c:pt>
                <c:pt idx="60">
                  <c:v>39.378247680022568</c:v>
                </c:pt>
              </c:numCache>
            </c:numRef>
          </c:val>
          <c:smooth val="0"/>
          <c:extLst>
            <c:ext xmlns:c16="http://schemas.microsoft.com/office/drawing/2014/chart" uri="{C3380CC4-5D6E-409C-BE32-E72D297353CC}">
              <c16:uniqueId val="{0000000D-8DDA-4F59-9DF4-1E3784FFFE78}"/>
            </c:ext>
          </c:extLst>
        </c:ser>
        <c:dLbls>
          <c:showLegendKey val="0"/>
          <c:showVal val="0"/>
          <c:showCatName val="0"/>
          <c:showSerName val="0"/>
          <c:showPercent val="0"/>
          <c:showBubbleSize val="0"/>
        </c:dLbls>
        <c:marker val="1"/>
        <c:smooth val="0"/>
        <c:axId val="610230528"/>
        <c:axId val="610226592"/>
      </c:lineChart>
      <c:scatterChart>
        <c:scatterStyle val="lineMarker"/>
        <c:varyColors val="0"/>
        <c:ser>
          <c:idx val="9"/>
          <c:order val="5"/>
          <c:tx>
            <c:strRef>
              <c:f>'MfE Target accounting emissions'!$A$24</c:f>
              <c:strCache>
                <c:ptCount val="1"/>
                <c:pt idx="0">
                  <c:v>Net zero all GHGs except biogenic methane</c:v>
                </c:pt>
              </c:strCache>
            </c:strRef>
          </c:tx>
          <c:spPr>
            <a:ln w="28575" cap="rnd">
              <a:noFill/>
              <a:round/>
            </a:ln>
            <a:effectLst/>
          </c:spPr>
          <c:marker>
            <c:symbol val="circle"/>
            <c:size val="7"/>
            <c:spPr>
              <a:solidFill>
                <a:srgbClr val="00B0F0"/>
              </a:solidFill>
              <a:ln w="9525">
                <a:noFill/>
              </a:ln>
              <a:effectLst/>
            </c:spPr>
          </c:marker>
          <c:xVal>
            <c:numRef>
              <c:f>'MfE Target accounting emissions'!$B$12:$BJ$12</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xVal>
          <c:yVal>
            <c:numRef>
              <c:f>'MfE Target accounting emissions'!$B$24:$BJ$24</c:f>
              <c:numCache>
                <c:formatCode>0.00</c:formatCode>
                <c:ptCount val="61"/>
                <c:pt idx="60">
                  <c:v>0</c:v>
                </c:pt>
              </c:numCache>
            </c:numRef>
          </c:yVal>
          <c:smooth val="0"/>
          <c:extLst>
            <c:ext xmlns:c16="http://schemas.microsoft.com/office/drawing/2014/chart" uri="{C3380CC4-5D6E-409C-BE32-E72D297353CC}">
              <c16:uniqueId val="{0000000E-8DDA-4F59-9DF4-1E3784FFFE78}"/>
            </c:ext>
          </c:extLst>
        </c:ser>
        <c:dLbls>
          <c:showLegendKey val="0"/>
          <c:showVal val="0"/>
          <c:showCatName val="0"/>
          <c:showSerName val="0"/>
          <c:showPercent val="0"/>
          <c:showBubbleSize val="0"/>
        </c:dLbls>
        <c:axId val="610230528"/>
        <c:axId val="610226592"/>
      </c:scatterChart>
      <c:scatterChart>
        <c:scatterStyle val="lineMarker"/>
        <c:varyColors val="0"/>
        <c:ser>
          <c:idx val="8"/>
          <c:order val="6"/>
          <c:tx>
            <c:strRef>
              <c:f>'MfE Target accounting emissions'!$A$23</c:f>
              <c:strCache>
                <c:ptCount val="1"/>
                <c:pt idx="0">
                  <c:v>Vertical line</c:v>
                </c:pt>
              </c:strCache>
            </c:strRef>
          </c:tx>
          <c:spPr>
            <a:ln w="25400" cap="rnd">
              <a:noFill/>
              <a:round/>
            </a:ln>
            <a:effectLst/>
          </c:spPr>
          <c:marker>
            <c:symbol val="circle"/>
            <c:size val="5"/>
            <c:spPr>
              <a:solidFill>
                <a:schemeClr val="accent3">
                  <a:lumMod val="60000"/>
                </a:schemeClr>
              </a:solidFill>
              <a:ln w="9525">
                <a:solidFill>
                  <a:schemeClr val="accent3">
                    <a:lumMod val="60000"/>
                  </a:schemeClr>
                </a:solidFill>
              </a:ln>
              <a:effectLst/>
            </c:spPr>
          </c:marker>
          <c:dPt>
            <c:idx val="28"/>
            <c:marker>
              <c:symbol val="none"/>
            </c:marker>
            <c:bubble3D val="0"/>
            <c:extLst>
              <c:ext xmlns:c16="http://schemas.microsoft.com/office/drawing/2014/chart" uri="{C3380CC4-5D6E-409C-BE32-E72D297353CC}">
                <c16:uniqueId val="{0000000F-8DDA-4F59-9DF4-1E3784FFFE78}"/>
              </c:ext>
            </c:extLst>
          </c:dPt>
          <c:trendline>
            <c:spPr>
              <a:ln w="19050" cap="rnd">
                <a:solidFill>
                  <a:schemeClr val="accent3">
                    <a:lumMod val="60000"/>
                  </a:schemeClr>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rendlineLbl>
          </c:trendline>
          <c:trendline>
            <c:spPr>
              <a:ln w="19050" cap="rnd">
                <a:solidFill>
                  <a:schemeClr val="accent3">
                    <a:lumMod val="60000"/>
                  </a:schemeClr>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rendlineLbl>
          </c:trendline>
          <c:errBars>
            <c:errDir val="y"/>
            <c:errBarType val="both"/>
            <c:errValType val="percentage"/>
            <c:noEndCap val="1"/>
            <c:val val="100"/>
            <c:spPr>
              <a:noFill/>
              <a:ln w="12700" cap="flat" cmpd="sng" algn="ctr">
                <a:solidFill>
                  <a:schemeClr val="tx1"/>
                </a:solidFill>
                <a:prstDash val="dash"/>
                <a:round/>
              </a:ln>
              <a:effectLst/>
            </c:spPr>
          </c:errBars>
          <c:xVal>
            <c:numRef>
              <c:f>'MfE Target accounting emissions'!$B$12:$BJ$12</c:f>
              <c:numCache>
                <c:formatCode>General</c:formatCode>
                <c:ptCount val="61"/>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pt idx="27">
                  <c:v>2017</c:v>
                </c:pt>
                <c:pt idx="28">
                  <c:v>2018</c:v>
                </c:pt>
                <c:pt idx="29">
                  <c:v>2019</c:v>
                </c:pt>
                <c:pt idx="30">
                  <c:v>2020</c:v>
                </c:pt>
                <c:pt idx="31">
                  <c:v>2021</c:v>
                </c:pt>
                <c:pt idx="32">
                  <c:v>2022</c:v>
                </c:pt>
                <c:pt idx="33">
                  <c:v>2023</c:v>
                </c:pt>
                <c:pt idx="34">
                  <c:v>2024</c:v>
                </c:pt>
                <c:pt idx="35">
                  <c:v>2025</c:v>
                </c:pt>
                <c:pt idx="36">
                  <c:v>2026</c:v>
                </c:pt>
                <c:pt idx="37">
                  <c:v>2027</c:v>
                </c:pt>
                <c:pt idx="38">
                  <c:v>2028</c:v>
                </c:pt>
                <c:pt idx="39">
                  <c:v>2029</c:v>
                </c:pt>
                <c:pt idx="40">
                  <c:v>2030</c:v>
                </c:pt>
                <c:pt idx="41">
                  <c:v>2031</c:v>
                </c:pt>
                <c:pt idx="42">
                  <c:v>2032</c:v>
                </c:pt>
                <c:pt idx="43">
                  <c:v>2033</c:v>
                </c:pt>
                <c:pt idx="44">
                  <c:v>2034</c:v>
                </c:pt>
                <c:pt idx="45">
                  <c:v>2035</c:v>
                </c:pt>
                <c:pt idx="46">
                  <c:v>2036</c:v>
                </c:pt>
                <c:pt idx="47">
                  <c:v>2037</c:v>
                </c:pt>
                <c:pt idx="48">
                  <c:v>2038</c:v>
                </c:pt>
                <c:pt idx="49">
                  <c:v>2039</c:v>
                </c:pt>
                <c:pt idx="50">
                  <c:v>2040</c:v>
                </c:pt>
                <c:pt idx="51">
                  <c:v>2041</c:v>
                </c:pt>
                <c:pt idx="52">
                  <c:v>2042</c:v>
                </c:pt>
                <c:pt idx="53">
                  <c:v>2043</c:v>
                </c:pt>
                <c:pt idx="54">
                  <c:v>2044</c:v>
                </c:pt>
                <c:pt idx="55">
                  <c:v>2045</c:v>
                </c:pt>
                <c:pt idx="56">
                  <c:v>2046</c:v>
                </c:pt>
                <c:pt idx="57">
                  <c:v>2047</c:v>
                </c:pt>
                <c:pt idx="58">
                  <c:v>2048</c:v>
                </c:pt>
                <c:pt idx="59">
                  <c:v>2049</c:v>
                </c:pt>
                <c:pt idx="60">
                  <c:v>2050</c:v>
                </c:pt>
              </c:numCache>
            </c:numRef>
          </c:xVal>
          <c:yVal>
            <c:numRef>
              <c:f>'MfE Target accounting emissions'!$B$23:$BJ$23</c:f>
              <c:numCache>
                <c:formatCode>0.00</c:formatCode>
                <c:ptCount val="61"/>
                <c:pt idx="28">
                  <c:v>45</c:v>
                </c:pt>
              </c:numCache>
            </c:numRef>
          </c:yVal>
          <c:smooth val="0"/>
          <c:extLst>
            <c:ext xmlns:c16="http://schemas.microsoft.com/office/drawing/2014/chart" uri="{C3380CC4-5D6E-409C-BE32-E72D297353CC}">
              <c16:uniqueId val="{00000012-8DDA-4F59-9DF4-1E3784FFFE78}"/>
            </c:ext>
          </c:extLst>
        </c:ser>
        <c:dLbls>
          <c:showLegendKey val="0"/>
          <c:showVal val="0"/>
          <c:showCatName val="0"/>
          <c:showSerName val="0"/>
          <c:showPercent val="0"/>
          <c:showBubbleSize val="0"/>
        </c:dLbls>
        <c:axId val="494483704"/>
        <c:axId val="494482720"/>
      </c:scatterChart>
      <c:dateAx>
        <c:axId val="610230528"/>
        <c:scaling>
          <c:orientation val="minMax"/>
        </c:scaling>
        <c:delete val="0"/>
        <c:axPos val="b"/>
        <c:numFmt formatCode="General" sourceLinked="1"/>
        <c:majorTickMark val="out"/>
        <c:minorTickMark val="out"/>
        <c:tickLblPos val="nextTo"/>
        <c:spPr>
          <a:noFill/>
          <a:ln w="9525" cap="flat" cmpd="sng" algn="ctr">
            <a:solidFill>
              <a:schemeClr val="bg2">
                <a:lumMod val="90000"/>
              </a:schemeClr>
            </a:solidFill>
            <a:round/>
          </a:ln>
          <a:effectLst/>
        </c:spPr>
        <c:txPr>
          <a:bodyPr rot="-5400000" spcFirstLastPara="1" vertOverflow="ellipsis"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610226592"/>
        <c:crosses val="autoZero"/>
        <c:auto val="0"/>
        <c:lblOffset val="100"/>
        <c:baseTimeUnit val="days"/>
        <c:majorUnit val="5"/>
        <c:majorTimeUnit val="days"/>
        <c:minorUnit val="1"/>
        <c:minorTimeUnit val="days"/>
      </c:dateAx>
      <c:valAx>
        <c:axId val="610226592"/>
        <c:scaling>
          <c:orientation val="minMax"/>
        </c:scaling>
        <c:delete val="0"/>
        <c:axPos val="l"/>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a:t>Emissions (Mt CO</a:t>
                </a:r>
                <a:r>
                  <a:rPr lang="en-US" baseline="-25000"/>
                  <a:t>2</a:t>
                </a:r>
                <a:r>
                  <a:rPr lang="en-US"/>
                  <a:t>-e)</a:t>
                </a:r>
              </a:p>
            </c:rich>
          </c:tx>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a:solidFill>
              <a:schemeClr val="bg2">
                <a:lumMod val="90000"/>
              </a:schemeClr>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610230528"/>
        <c:crosses val="autoZero"/>
        <c:crossBetween val="between"/>
      </c:valAx>
      <c:valAx>
        <c:axId val="494482720"/>
        <c:scaling>
          <c:orientation val="minMax"/>
          <c:max val="90"/>
        </c:scaling>
        <c:delete val="0"/>
        <c:axPos val="r"/>
        <c:numFmt formatCode="0.00" sourceLinked="1"/>
        <c:majorTickMark val="out"/>
        <c:minorTickMark val="none"/>
        <c:tickLblPos val="none"/>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494483704"/>
        <c:crosses val="max"/>
        <c:crossBetween val="between"/>
      </c:valAx>
      <c:dateAx>
        <c:axId val="494483704"/>
        <c:scaling>
          <c:orientation val="minMax"/>
        </c:scaling>
        <c:delete val="1"/>
        <c:axPos val="b"/>
        <c:numFmt formatCode="General" sourceLinked="1"/>
        <c:majorTickMark val="out"/>
        <c:minorTickMark val="none"/>
        <c:tickLblPos val="nextTo"/>
        <c:crossAx val="494482720"/>
        <c:crosses val="autoZero"/>
        <c:auto val="0"/>
        <c:lblOffset val="100"/>
        <c:baseTimeUnit val="days"/>
      </c:dateAx>
      <c:spPr>
        <a:noFill/>
        <a:ln>
          <a:noFill/>
        </a:ln>
        <a:effectLst/>
      </c:spPr>
    </c:plotArea>
    <c:legend>
      <c:legendPos val="b"/>
      <c:legendEntry>
        <c:idx val="4"/>
        <c:delete val="1"/>
      </c:legendEntry>
      <c:legendEntry>
        <c:idx val="7"/>
        <c:delete val="1"/>
      </c:legendEntry>
      <c:legendEntry>
        <c:idx val="8"/>
        <c:delete val="1"/>
      </c:legendEntry>
      <c:legendEntry>
        <c:idx val="11"/>
        <c:delete val="1"/>
      </c:legendEntry>
      <c:legendEntry>
        <c:idx val="12"/>
        <c:delete val="1"/>
      </c:legendEntry>
      <c:legendEntry>
        <c:idx val="13"/>
        <c:delete val="1"/>
      </c:legendEntry>
      <c:layout>
        <c:manualLayout>
          <c:xMode val="edge"/>
          <c:yMode val="edge"/>
          <c:x val="5.5559657913574194E-2"/>
          <c:y val="0.82244730421913115"/>
          <c:w val="0.94138552537392162"/>
          <c:h val="0.1599315504064194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100"/>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28</xdr:col>
      <xdr:colOff>123824</xdr:colOff>
      <xdr:row>102</xdr:row>
      <xdr:rowOff>61912</xdr:rowOff>
    </xdr:from>
    <xdr:to>
      <xdr:col>38</xdr:col>
      <xdr:colOff>247649</xdr:colOff>
      <xdr:row>122</xdr:row>
      <xdr:rowOff>133350</xdr:rowOff>
    </xdr:to>
    <xdr:graphicFrame macro="">
      <xdr:nvGraphicFramePr>
        <xdr:cNvPr id="7" name="Chart 6">
          <a:extLst>
            <a:ext uri="{FF2B5EF4-FFF2-40B4-BE49-F238E27FC236}">
              <a16:creationId xmlns:a16="http://schemas.microsoft.com/office/drawing/2014/main" id="{41B280FD-F318-48E6-8060-D37D6FC434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19051</xdr:colOff>
      <xdr:row>1</xdr:row>
      <xdr:rowOff>38100</xdr:rowOff>
    </xdr:from>
    <xdr:to>
      <xdr:col>11</xdr:col>
      <xdr:colOff>57151</xdr:colOff>
      <xdr:row>8</xdr:row>
      <xdr:rowOff>200025</xdr:rowOff>
    </xdr:to>
    <xdr:sp macro="" textlink="">
      <xdr:nvSpPr>
        <xdr:cNvPr id="2" name="TextBox 1">
          <a:extLst>
            <a:ext uri="{FF2B5EF4-FFF2-40B4-BE49-F238E27FC236}">
              <a16:creationId xmlns:a16="http://schemas.microsoft.com/office/drawing/2014/main" id="{9AEC620D-70F0-4362-8986-7FE651467BD9}"/>
            </a:ext>
          </a:extLst>
        </xdr:cNvPr>
        <xdr:cNvSpPr txBox="1"/>
      </xdr:nvSpPr>
      <xdr:spPr>
        <a:xfrm>
          <a:off x="2486026" y="228600"/>
          <a:ext cx="4305300" cy="1543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100" b="1"/>
            <a:t>Worksheet</a:t>
          </a:r>
          <a:r>
            <a:rPr lang="en-NZ" sz="1100" b="1" baseline="0"/>
            <a:t> summary</a:t>
          </a:r>
          <a:endParaRPr lang="en-NZ" sz="1100" b="1"/>
        </a:p>
        <a:p>
          <a:r>
            <a:rPr lang="en-NZ" sz="1100"/>
            <a:t>This sheet will convert a given NDC budget in kt CO2-e back into</a:t>
          </a:r>
          <a:r>
            <a:rPr lang="en-NZ" sz="1100" baseline="0"/>
            <a:t> an equivalent percentage reduction target on either a 2005 base or 1990 base.</a:t>
          </a:r>
        </a:p>
        <a:p>
          <a:endParaRPr lang="en-NZ" sz="1100" baseline="0"/>
        </a:p>
        <a:p>
          <a:r>
            <a:rPr lang="en-NZ" sz="1100" baseline="0"/>
            <a:t>The given NDC budget must be manually pasted into cell A6 as a value.</a:t>
          </a:r>
          <a:endParaRPr lang="en-N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389283</xdr:colOff>
      <xdr:row>1</xdr:row>
      <xdr:rowOff>34164</xdr:rowOff>
    </xdr:from>
    <xdr:to>
      <xdr:col>38</xdr:col>
      <xdr:colOff>65432</xdr:colOff>
      <xdr:row>29</xdr:row>
      <xdr:rowOff>172277</xdr:rowOff>
    </xdr:to>
    <xdr:graphicFrame macro="">
      <xdr:nvGraphicFramePr>
        <xdr:cNvPr id="2" name="Chart 1">
          <a:extLst>
            <a:ext uri="{FF2B5EF4-FFF2-40B4-BE49-F238E27FC236}">
              <a16:creationId xmlns:a16="http://schemas.microsoft.com/office/drawing/2014/main" id="{A73D7383-9E87-4994-828E-8AD316AF77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25</xdr:col>
      <xdr:colOff>419100</xdr:colOff>
      <xdr:row>31</xdr:row>
      <xdr:rowOff>104775</xdr:rowOff>
    </xdr:from>
    <xdr:to>
      <xdr:col>41</xdr:col>
      <xdr:colOff>28575</xdr:colOff>
      <xdr:row>59</xdr:row>
      <xdr:rowOff>66675</xdr:rowOff>
    </xdr:to>
    <xdr:sp macro="" textlink="">
      <xdr:nvSpPr>
        <xdr:cNvPr id="4" name="TextBox 3">
          <a:extLst>
            <a:ext uri="{FF2B5EF4-FFF2-40B4-BE49-F238E27FC236}">
              <a16:creationId xmlns:a16="http://schemas.microsoft.com/office/drawing/2014/main" id="{2E98F901-CC55-4018-833C-2A743E75856A}"/>
            </a:ext>
          </a:extLst>
        </xdr:cNvPr>
        <xdr:cNvSpPr txBox="1"/>
      </xdr:nvSpPr>
      <xdr:spPr>
        <a:xfrm>
          <a:off x="17268825" y="6010275"/>
          <a:ext cx="9363075" cy="529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NZ" sz="1100"/>
        </a:p>
      </xdr:txBody>
    </xdr:sp>
    <xdr:clientData/>
  </xdr:twoCellAnchor>
  <xdr:twoCellAnchor>
    <xdr:from>
      <xdr:col>27</xdr:col>
      <xdr:colOff>93281</xdr:colOff>
      <xdr:row>33</xdr:row>
      <xdr:rowOff>84240</xdr:rowOff>
    </xdr:from>
    <xdr:to>
      <xdr:col>40</xdr:col>
      <xdr:colOff>187110</xdr:colOff>
      <xdr:row>57</xdr:row>
      <xdr:rowOff>92523</xdr:rowOff>
    </xdr:to>
    <xdr:graphicFrame macro="">
      <xdr:nvGraphicFramePr>
        <xdr:cNvPr id="7" name="Chart 6">
          <a:extLst>
            <a:ext uri="{FF2B5EF4-FFF2-40B4-BE49-F238E27FC236}">
              <a16:creationId xmlns:a16="http://schemas.microsoft.com/office/drawing/2014/main" id="{346B170F-3DA9-4606-A5CD-B2CC673CA0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0.40307</cdr:x>
      <cdr:y>0.11013</cdr:y>
    </cdr:from>
    <cdr:to>
      <cdr:x>0.46299</cdr:x>
      <cdr:y>0.25741</cdr:y>
    </cdr:to>
    <cdr:cxnSp macro="">
      <cdr:nvCxnSpPr>
        <cdr:cNvPr id="3" name="Straight Arrow Connector 2">
          <a:extLst xmlns:a="http://schemas.openxmlformats.org/drawingml/2006/main">
            <a:ext uri="{FF2B5EF4-FFF2-40B4-BE49-F238E27FC236}">
              <a16:creationId xmlns:a16="http://schemas.microsoft.com/office/drawing/2014/main" id="{A407FDCD-9B83-41E0-8103-2294442EFAF3}"/>
            </a:ext>
          </a:extLst>
        </cdr:cNvPr>
        <cdr:cNvCxnSpPr/>
      </cdr:nvCxnSpPr>
      <cdr:spPr>
        <a:xfrm xmlns:a="http://schemas.openxmlformats.org/drawingml/2006/main" flipV="1">
          <a:off x="3056060" y="602641"/>
          <a:ext cx="454269" cy="805961"/>
        </a:xfrm>
        <a:prstGeom xmlns:a="http://schemas.openxmlformats.org/drawingml/2006/main" prst="straightConnector1">
          <a:avLst/>
        </a:prstGeom>
        <a:ln xmlns:a="http://schemas.openxmlformats.org/drawingml/2006/main" w="19050">
          <a:solidFill>
            <a:srgbClr val="EF4D7F"/>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0.40411</cdr:x>
      <cdr:y>0.25645</cdr:y>
    </cdr:from>
    <cdr:to>
      <cdr:x>0.46706</cdr:x>
      <cdr:y>0.38129</cdr:y>
    </cdr:to>
    <cdr:cxnSp macro="">
      <cdr:nvCxnSpPr>
        <cdr:cNvPr id="5" name="Straight Arrow Connector 4">
          <a:extLst xmlns:a="http://schemas.openxmlformats.org/drawingml/2006/main">
            <a:ext uri="{FF2B5EF4-FFF2-40B4-BE49-F238E27FC236}">
              <a16:creationId xmlns:a16="http://schemas.microsoft.com/office/drawing/2014/main" id="{480F9299-45CE-4889-B6A6-DBE31B1B3BC2}"/>
            </a:ext>
          </a:extLst>
        </cdr:cNvPr>
        <cdr:cNvCxnSpPr/>
      </cdr:nvCxnSpPr>
      <cdr:spPr>
        <a:xfrm xmlns:a="http://schemas.openxmlformats.org/drawingml/2006/main">
          <a:off x="3078546" y="1403297"/>
          <a:ext cx="479534" cy="683172"/>
        </a:xfrm>
        <a:prstGeom xmlns:a="http://schemas.openxmlformats.org/drawingml/2006/main" prst="straightConnector1">
          <a:avLst/>
        </a:prstGeom>
        <a:ln xmlns:a="http://schemas.openxmlformats.org/drawingml/2006/main" w="19050">
          <a:solidFill>
            <a:srgbClr val="EF4D7F"/>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0.50877</cdr:x>
      <cdr:y>0.06527</cdr:y>
    </cdr:from>
    <cdr:to>
      <cdr:x>0.82832</cdr:x>
      <cdr:y>0.16623</cdr:y>
    </cdr:to>
    <cdr:sp macro="" textlink="">
      <cdr:nvSpPr>
        <cdr:cNvPr id="10" name="TextBox 9">
          <a:extLst xmlns:a="http://schemas.openxmlformats.org/drawingml/2006/main">
            <a:ext uri="{FF2B5EF4-FFF2-40B4-BE49-F238E27FC236}">
              <a16:creationId xmlns:a16="http://schemas.microsoft.com/office/drawing/2014/main" id="{083D5808-9834-4050-A312-35524BBC9DC0}"/>
            </a:ext>
          </a:extLst>
        </cdr:cNvPr>
        <cdr:cNvSpPr txBox="1"/>
      </cdr:nvSpPr>
      <cdr:spPr>
        <a:xfrm xmlns:a="http://schemas.openxmlformats.org/drawingml/2006/main">
          <a:off x="3867150" y="357189"/>
          <a:ext cx="2428875" cy="5524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NZ" sz="1100"/>
            <a:t>Net emissions are rising as forest</a:t>
          </a:r>
          <a:r>
            <a:rPr lang="en-NZ" sz="1100" baseline="0"/>
            <a:t> offsetting drops away</a:t>
          </a:r>
          <a:endParaRPr lang="en-NZ" sz="1100"/>
        </a:p>
      </cdr:txBody>
    </cdr:sp>
  </cdr:relSizeAnchor>
  <cdr:relSizeAnchor xmlns:cdr="http://schemas.openxmlformats.org/drawingml/2006/chartDrawing">
    <cdr:from>
      <cdr:x>0.54386</cdr:x>
      <cdr:y>0.27067</cdr:y>
    </cdr:from>
    <cdr:to>
      <cdr:x>0.91103</cdr:x>
      <cdr:y>0.38729</cdr:y>
    </cdr:to>
    <cdr:sp macro="" textlink="">
      <cdr:nvSpPr>
        <cdr:cNvPr id="11" name="TextBox 10">
          <a:extLst xmlns:a="http://schemas.openxmlformats.org/drawingml/2006/main">
            <a:ext uri="{FF2B5EF4-FFF2-40B4-BE49-F238E27FC236}">
              <a16:creationId xmlns:a16="http://schemas.microsoft.com/office/drawing/2014/main" id="{6D8CA9F7-F5F1-4F55-94D1-6C44D6FB794A}"/>
            </a:ext>
          </a:extLst>
        </cdr:cNvPr>
        <cdr:cNvSpPr txBox="1"/>
      </cdr:nvSpPr>
      <cdr:spPr>
        <a:xfrm xmlns:a="http://schemas.openxmlformats.org/drawingml/2006/main">
          <a:off x="4133850" y="1481139"/>
          <a:ext cx="2790825" cy="6381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NZ" sz="1100"/>
            <a:t>International targets are becoming more stringent </a:t>
          </a:r>
        </a:p>
      </cdr:txBody>
    </cdr:sp>
  </cdr:relSizeAnchor>
  <cdr:relSizeAnchor xmlns:cdr="http://schemas.openxmlformats.org/drawingml/2006/chartDrawing">
    <cdr:from>
      <cdr:x>0.06197</cdr:x>
      <cdr:y>0.52829</cdr:y>
    </cdr:from>
    <cdr:to>
      <cdr:x>0.22836</cdr:x>
      <cdr:y>0.68592</cdr:y>
    </cdr:to>
    <cdr:sp macro="" textlink="">
      <cdr:nvSpPr>
        <cdr:cNvPr id="14" name="TextBox 13">
          <a:extLst xmlns:a="http://schemas.openxmlformats.org/drawingml/2006/main">
            <a:ext uri="{FF2B5EF4-FFF2-40B4-BE49-F238E27FC236}">
              <a16:creationId xmlns:a16="http://schemas.microsoft.com/office/drawing/2014/main" id="{C569CB83-5C28-4386-971B-98503C10CAB1}"/>
            </a:ext>
          </a:extLst>
        </cdr:cNvPr>
        <cdr:cNvSpPr txBox="1"/>
      </cdr:nvSpPr>
      <cdr:spPr>
        <a:xfrm xmlns:a="http://schemas.openxmlformats.org/drawingml/2006/main">
          <a:off x="467407" y="2890862"/>
          <a:ext cx="1255057" cy="86256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NZ" sz="1600" b="1"/>
            <a:t>Kyoto Protocol</a:t>
          </a:r>
        </a:p>
      </cdr:txBody>
    </cdr:sp>
  </cdr:relSizeAnchor>
  <cdr:relSizeAnchor xmlns:cdr="http://schemas.openxmlformats.org/drawingml/2006/chartDrawing">
    <cdr:from>
      <cdr:x>0.23308</cdr:x>
      <cdr:y>0.53003</cdr:y>
    </cdr:from>
    <cdr:to>
      <cdr:x>0.3985</cdr:x>
      <cdr:y>0.63621</cdr:y>
    </cdr:to>
    <cdr:sp macro="" textlink="">
      <cdr:nvSpPr>
        <cdr:cNvPr id="15" name="TextBox 14">
          <a:extLst xmlns:a="http://schemas.openxmlformats.org/drawingml/2006/main">
            <a:ext uri="{FF2B5EF4-FFF2-40B4-BE49-F238E27FC236}">
              <a16:creationId xmlns:a16="http://schemas.microsoft.com/office/drawing/2014/main" id="{A1F9CA6A-6D41-4CC9-957B-B9A35E64DC36}"/>
            </a:ext>
          </a:extLst>
        </cdr:cNvPr>
        <cdr:cNvSpPr txBox="1"/>
      </cdr:nvSpPr>
      <cdr:spPr>
        <a:xfrm xmlns:a="http://schemas.openxmlformats.org/drawingml/2006/main">
          <a:off x="1771650" y="2900364"/>
          <a:ext cx="1257300" cy="581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NZ" sz="1600" b="1"/>
            <a:t>2020 target</a:t>
          </a:r>
        </a:p>
      </cdr:txBody>
    </cdr:sp>
  </cdr:relSizeAnchor>
  <cdr:relSizeAnchor xmlns:cdr="http://schemas.openxmlformats.org/drawingml/2006/chartDrawing">
    <cdr:from>
      <cdr:x>0.4464</cdr:x>
      <cdr:y>0.53556</cdr:y>
    </cdr:from>
    <cdr:to>
      <cdr:x>0.67823</cdr:x>
      <cdr:y>0.6574</cdr:y>
    </cdr:to>
    <cdr:sp macro="" textlink="">
      <cdr:nvSpPr>
        <cdr:cNvPr id="16" name="TextBox 15">
          <a:extLst xmlns:a="http://schemas.openxmlformats.org/drawingml/2006/main">
            <a:ext uri="{FF2B5EF4-FFF2-40B4-BE49-F238E27FC236}">
              <a16:creationId xmlns:a16="http://schemas.microsoft.com/office/drawing/2014/main" id="{52C95CA2-4245-4192-B9F4-4FEA561924CB}"/>
            </a:ext>
          </a:extLst>
        </cdr:cNvPr>
        <cdr:cNvSpPr txBox="1"/>
      </cdr:nvSpPr>
      <cdr:spPr>
        <a:xfrm xmlns:a="http://schemas.openxmlformats.org/drawingml/2006/main">
          <a:off x="3367037" y="2930633"/>
          <a:ext cx="1748619" cy="66672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NZ" sz="1600" b="1"/>
            <a:t>Current NDC</a:t>
          </a:r>
        </a:p>
      </cdr:txBody>
    </cdr:sp>
  </cdr:relSizeAnchor>
</c:userShapes>
</file>

<file path=xl/drawings/drawing5.xml><?xml version="1.0" encoding="utf-8"?>
<c:userShapes xmlns:c="http://schemas.openxmlformats.org/drawingml/2006/chart">
  <cdr:relSizeAnchor xmlns:cdr="http://schemas.openxmlformats.org/drawingml/2006/chartDrawing">
    <cdr:from>
      <cdr:x>0.37365</cdr:x>
      <cdr:y>0.03006</cdr:y>
    </cdr:from>
    <cdr:to>
      <cdr:x>0.37365</cdr:x>
      <cdr:y>0.80278</cdr:y>
    </cdr:to>
    <cdr:cxnSp macro="">
      <cdr:nvCxnSpPr>
        <cdr:cNvPr id="3" name="Straight Connector 2">
          <a:extLst xmlns:a="http://schemas.openxmlformats.org/drawingml/2006/main">
            <a:ext uri="{FF2B5EF4-FFF2-40B4-BE49-F238E27FC236}">
              <a16:creationId xmlns:a16="http://schemas.microsoft.com/office/drawing/2014/main" id="{102102A3-BDAC-4F05-9148-D098B7210755}"/>
            </a:ext>
          </a:extLst>
        </cdr:cNvPr>
        <cdr:cNvCxnSpPr/>
      </cdr:nvCxnSpPr>
      <cdr:spPr>
        <a:xfrm xmlns:a="http://schemas.openxmlformats.org/drawingml/2006/main">
          <a:off x="3005887" y="137688"/>
          <a:ext cx="0" cy="3539290"/>
        </a:xfrm>
        <a:prstGeom xmlns:a="http://schemas.openxmlformats.org/drawingml/2006/main" prst="line">
          <a:avLst/>
        </a:prstGeom>
        <a:ln xmlns:a="http://schemas.openxmlformats.org/drawingml/2006/main">
          <a:solidFill>
            <a:schemeClr val="tx1">
              <a:lumMod val="50000"/>
              <a:lumOff val="50000"/>
            </a:schemeClr>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0.37463</cdr:x>
      <cdr:y>0.40977</cdr:y>
    </cdr:from>
    <cdr:to>
      <cdr:x>0.67262</cdr:x>
      <cdr:y>0.41043</cdr:y>
    </cdr:to>
    <cdr:cxnSp macro="">
      <cdr:nvCxnSpPr>
        <cdr:cNvPr id="20" name="Straight Connector 19">
          <a:extLst xmlns:a="http://schemas.openxmlformats.org/drawingml/2006/main">
            <a:ext uri="{FF2B5EF4-FFF2-40B4-BE49-F238E27FC236}">
              <a16:creationId xmlns:a16="http://schemas.microsoft.com/office/drawing/2014/main" id="{8C65196D-63F6-4EA8-9C8F-0205DFBCD759}"/>
            </a:ext>
          </a:extLst>
        </cdr:cNvPr>
        <cdr:cNvCxnSpPr/>
      </cdr:nvCxnSpPr>
      <cdr:spPr>
        <a:xfrm xmlns:a="http://schemas.openxmlformats.org/drawingml/2006/main">
          <a:off x="3010383" y="1876873"/>
          <a:ext cx="2394617" cy="3018"/>
        </a:xfrm>
        <a:prstGeom xmlns:a="http://schemas.openxmlformats.org/drawingml/2006/main" prst="line">
          <a:avLst/>
        </a:prstGeom>
        <a:ln xmlns:a="http://schemas.openxmlformats.org/drawingml/2006/main" w="12700">
          <a:solidFill>
            <a:schemeClr val="tx1"/>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0.79062</cdr:x>
      <cdr:y>0.91375</cdr:y>
    </cdr:from>
    <cdr:to>
      <cdr:x>0.83183</cdr:x>
      <cdr:y>0.91375</cdr:y>
    </cdr:to>
    <cdr:cxnSp macro="">
      <cdr:nvCxnSpPr>
        <cdr:cNvPr id="13" name="Straight Connector 12">
          <a:extLst xmlns:a="http://schemas.openxmlformats.org/drawingml/2006/main">
            <a:ext uri="{FF2B5EF4-FFF2-40B4-BE49-F238E27FC236}">
              <a16:creationId xmlns:a16="http://schemas.microsoft.com/office/drawing/2014/main" id="{E49C40B4-0748-4A8C-94F0-DE6888F792E5}"/>
            </a:ext>
          </a:extLst>
        </cdr:cNvPr>
        <cdr:cNvCxnSpPr/>
      </cdr:nvCxnSpPr>
      <cdr:spPr>
        <a:xfrm xmlns:a="http://schemas.openxmlformats.org/drawingml/2006/main">
          <a:off x="6324599" y="4185235"/>
          <a:ext cx="329711" cy="0"/>
        </a:xfrm>
        <a:prstGeom xmlns:a="http://schemas.openxmlformats.org/drawingml/2006/main" prst="line">
          <a:avLst/>
        </a:prstGeom>
        <a:ln xmlns:a="http://schemas.openxmlformats.org/drawingml/2006/main" w="12700">
          <a:solidFill>
            <a:schemeClr val="tx1"/>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0.83458</cdr:x>
      <cdr:y>0.88469</cdr:y>
    </cdr:from>
    <cdr:to>
      <cdr:x>0.96098</cdr:x>
      <cdr:y>0.9984</cdr:y>
    </cdr:to>
    <cdr:sp macro="" textlink="">
      <cdr:nvSpPr>
        <cdr:cNvPr id="14" name="TextBox 13">
          <a:extLst xmlns:a="http://schemas.openxmlformats.org/drawingml/2006/main">
            <a:ext uri="{FF2B5EF4-FFF2-40B4-BE49-F238E27FC236}">
              <a16:creationId xmlns:a16="http://schemas.microsoft.com/office/drawing/2014/main" id="{2DE5248B-721A-413E-AA2E-D1E99FA28C35}"/>
            </a:ext>
          </a:extLst>
        </cdr:cNvPr>
        <cdr:cNvSpPr txBox="1"/>
      </cdr:nvSpPr>
      <cdr:spPr>
        <a:xfrm xmlns:a="http://schemas.openxmlformats.org/drawingml/2006/main">
          <a:off x="6676291" y="4052139"/>
          <a:ext cx="1011116" cy="52081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NZ" sz="900">
              <a:solidFill>
                <a:schemeClr val="tx1">
                  <a:lumMod val="65000"/>
                  <a:lumOff val="35000"/>
                </a:schemeClr>
              </a:solidFill>
            </a:rPr>
            <a:t>Demonstration path</a:t>
          </a:r>
          <a:r>
            <a:rPr lang="en-NZ" sz="900" baseline="0">
              <a:solidFill>
                <a:schemeClr val="tx1">
                  <a:lumMod val="65000"/>
                  <a:lumOff val="35000"/>
                </a:schemeClr>
              </a:solidFill>
            </a:rPr>
            <a:t> average</a:t>
          </a:r>
          <a:br>
            <a:rPr lang="en-NZ" sz="900" baseline="0">
              <a:solidFill>
                <a:schemeClr val="tx1">
                  <a:lumMod val="65000"/>
                  <a:lumOff val="35000"/>
                </a:schemeClr>
              </a:solidFill>
            </a:rPr>
          </a:br>
          <a:r>
            <a:rPr lang="en-NZ" sz="900" baseline="0">
              <a:solidFill>
                <a:schemeClr val="tx1">
                  <a:lumMod val="65000"/>
                  <a:lumOff val="35000"/>
                </a:schemeClr>
              </a:solidFill>
            </a:rPr>
            <a:t>2031-2040</a:t>
          </a:r>
          <a:endParaRPr lang="en-NZ" sz="900">
            <a:solidFill>
              <a:schemeClr val="tx1">
                <a:lumMod val="65000"/>
                <a:lumOff val="35000"/>
              </a:schemeClr>
            </a:solidFill>
          </a:endParaRPr>
        </a:p>
      </cdr:txBody>
    </cdr:sp>
  </cdr:relSizeAnchor>
  <cdr:relSizeAnchor xmlns:cdr="http://schemas.openxmlformats.org/drawingml/2006/chartDrawing">
    <cdr:from>
      <cdr:x>0.6669</cdr:x>
      <cdr:y>0.02824</cdr:y>
    </cdr:from>
    <cdr:to>
      <cdr:x>0.6669</cdr:x>
      <cdr:y>0.80097</cdr:y>
    </cdr:to>
    <cdr:cxnSp macro="">
      <cdr:nvCxnSpPr>
        <cdr:cNvPr id="21" name="Straight Connector 20">
          <a:extLst xmlns:a="http://schemas.openxmlformats.org/drawingml/2006/main">
            <a:ext uri="{FF2B5EF4-FFF2-40B4-BE49-F238E27FC236}">
              <a16:creationId xmlns:a16="http://schemas.microsoft.com/office/drawing/2014/main" id="{B210A097-B115-4FDC-834B-498B067E56BB}"/>
            </a:ext>
          </a:extLst>
        </cdr:cNvPr>
        <cdr:cNvCxnSpPr/>
      </cdr:nvCxnSpPr>
      <cdr:spPr>
        <a:xfrm xmlns:a="http://schemas.openxmlformats.org/drawingml/2006/main">
          <a:off x="5359035" y="129367"/>
          <a:ext cx="0" cy="3539290"/>
        </a:xfrm>
        <a:prstGeom xmlns:a="http://schemas.openxmlformats.org/drawingml/2006/main" prst="line">
          <a:avLst/>
        </a:prstGeom>
        <a:ln xmlns:a="http://schemas.openxmlformats.org/drawingml/2006/main">
          <a:solidFill>
            <a:schemeClr val="tx1">
              <a:lumMod val="50000"/>
              <a:lumOff val="50000"/>
            </a:schemeClr>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0.96528</cdr:x>
      <cdr:y>0.02968</cdr:y>
    </cdr:from>
    <cdr:to>
      <cdr:x>0.96528</cdr:x>
      <cdr:y>0.8024</cdr:y>
    </cdr:to>
    <cdr:cxnSp macro="">
      <cdr:nvCxnSpPr>
        <cdr:cNvPr id="22" name="Straight Connector 21">
          <a:extLst xmlns:a="http://schemas.openxmlformats.org/drawingml/2006/main">
            <a:ext uri="{FF2B5EF4-FFF2-40B4-BE49-F238E27FC236}">
              <a16:creationId xmlns:a16="http://schemas.microsoft.com/office/drawing/2014/main" id="{B210A097-B115-4FDC-834B-498B067E56BB}"/>
            </a:ext>
          </a:extLst>
        </cdr:cNvPr>
        <cdr:cNvCxnSpPr/>
      </cdr:nvCxnSpPr>
      <cdr:spPr>
        <a:xfrm xmlns:a="http://schemas.openxmlformats.org/drawingml/2006/main">
          <a:off x="7756707" y="135936"/>
          <a:ext cx="0" cy="3539290"/>
        </a:xfrm>
        <a:prstGeom xmlns:a="http://schemas.openxmlformats.org/drawingml/2006/main" prst="line">
          <a:avLst/>
        </a:prstGeom>
        <a:ln xmlns:a="http://schemas.openxmlformats.org/drawingml/2006/main">
          <a:solidFill>
            <a:schemeClr val="tx1">
              <a:lumMod val="50000"/>
              <a:lumOff val="50000"/>
            </a:schemeClr>
          </a:solidFill>
          <a:prstDash val="sys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0.37342</cdr:x>
      <cdr:y>0.23488</cdr:y>
    </cdr:from>
    <cdr:to>
      <cdr:x>0.96527</cdr:x>
      <cdr:y>0.59486</cdr:y>
    </cdr:to>
    <cdr:sp macro="" textlink="">
      <cdr:nvSpPr>
        <cdr:cNvPr id="23" name="Freeform: Shape 22">
          <a:extLst xmlns:a="http://schemas.openxmlformats.org/drawingml/2006/main">
            <a:ext uri="{FF2B5EF4-FFF2-40B4-BE49-F238E27FC236}">
              <a16:creationId xmlns:a16="http://schemas.microsoft.com/office/drawing/2014/main" id="{A0B06587-F210-4F9F-849C-AFE28543318A}"/>
            </a:ext>
          </a:extLst>
        </cdr:cNvPr>
        <cdr:cNvSpPr/>
      </cdr:nvSpPr>
      <cdr:spPr>
        <a:xfrm xmlns:a="http://schemas.openxmlformats.org/drawingml/2006/main">
          <a:off x="3000701" y="1075839"/>
          <a:ext cx="4755931" cy="1648811"/>
        </a:xfrm>
        <a:custGeom xmlns:a="http://schemas.openxmlformats.org/drawingml/2006/main">
          <a:avLst/>
          <a:gdLst>
            <a:gd name="connsiteX0" fmla="*/ 4755931 w 4755931"/>
            <a:gd name="connsiteY0" fmla="*/ 1005052 h 1648811"/>
            <a:gd name="connsiteX1" fmla="*/ 0 w 4755931"/>
            <a:gd name="connsiteY1" fmla="*/ 0 h 1648811"/>
            <a:gd name="connsiteX2" fmla="*/ 4755931 w 4755931"/>
            <a:gd name="connsiteY2" fmla="*/ 1648811 h 1648811"/>
            <a:gd name="connsiteX3" fmla="*/ 4755931 w 4755931"/>
            <a:gd name="connsiteY3" fmla="*/ 1005052 h 1648811"/>
          </a:gdLst>
          <a:ahLst/>
          <a:cxnLst>
            <a:cxn ang="0">
              <a:pos x="connsiteX0" y="connsiteY0"/>
            </a:cxn>
            <a:cxn ang="0">
              <a:pos x="connsiteX1" y="connsiteY1"/>
            </a:cxn>
            <a:cxn ang="0">
              <a:pos x="connsiteX2" y="connsiteY2"/>
            </a:cxn>
            <a:cxn ang="0">
              <a:pos x="connsiteX3" y="connsiteY3"/>
            </a:cxn>
          </a:cxnLst>
          <a:rect l="l" t="t" r="r" b="b"/>
          <a:pathLst>
            <a:path w="4755931" h="1648811">
              <a:moveTo>
                <a:pt x="4755931" y="1005052"/>
              </a:moveTo>
              <a:lnTo>
                <a:pt x="0" y="0"/>
              </a:lnTo>
              <a:lnTo>
                <a:pt x="4755931" y="1648811"/>
              </a:lnTo>
              <a:lnTo>
                <a:pt x="4755931" y="1005052"/>
              </a:lnTo>
              <a:close/>
            </a:path>
          </a:pathLst>
        </a:custGeom>
        <a:solidFill xmlns:a="http://schemas.openxmlformats.org/drawingml/2006/main">
          <a:srgbClr val="00ACD3">
            <a:alpha val="50000"/>
          </a:srgb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0.37342</cdr:x>
      <cdr:y>0.23919</cdr:y>
    </cdr:from>
    <cdr:to>
      <cdr:x>0.96609</cdr:x>
      <cdr:y>0.80282</cdr:y>
    </cdr:to>
    <cdr:sp macro="" textlink="">
      <cdr:nvSpPr>
        <cdr:cNvPr id="24" name="Freeform: Shape 23">
          <a:extLst xmlns:a="http://schemas.openxmlformats.org/drawingml/2006/main">
            <a:ext uri="{FF2B5EF4-FFF2-40B4-BE49-F238E27FC236}">
              <a16:creationId xmlns:a16="http://schemas.microsoft.com/office/drawing/2014/main" id="{3DB83AA0-C1ED-494B-82DF-6E9067F6DD8A}"/>
            </a:ext>
          </a:extLst>
        </cdr:cNvPr>
        <cdr:cNvSpPr/>
      </cdr:nvSpPr>
      <cdr:spPr>
        <a:xfrm xmlns:a="http://schemas.openxmlformats.org/drawingml/2006/main">
          <a:off x="3000701" y="1095546"/>
          <a:ext cx="4762500" cy="2581604"/>
        </a:xfrm>
        <a:custGeom xmlns:a="http://schemas.openxmlformats.org/drawingml/2006/main">
          <a:avLst/>
          <a:gdLst>
            <a:gd name="connsiteX0" fmla="*/ 4755931 w 4762500"/>
            <a:gd name="connsiteY0" fmla="*/ 1648811 h 2581604"/>
            <a:gd name="connsiteX1" fmla="*/ 0 w 4762500"/>
            <a:gd name="connsiteY1" fmla="*/ 0 h 2581604"/>
            <a:gd name="connsiteX2" fmla="*/ 6569 w 4762500"/>
            <a:gd name="connsiteY2" fmla="*/ 2581604 h 2581604"/>
            <a:gd name="connsiteX3" fmla="*/ 4762500 w 4762500"/>
            <a:gd name="connsiteY3" fmla="*/ 2581604 h 2581604"/>
            <a:gd name="connsiteX4" fmla="*/ 4755931 w 4762500"/>
            <a:gd name="connsiteY4" fmla="*/ 1648811 h 258160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762500" h="2581604">
              <a:moveTo>
                <a:pt x="4755931" y="1648811"/>
              </a:moveTo>
              <a:lnTo>
                <a:pt x="0" y="0"/>
              </a:lnTo>
              <a:cubicBezTo>
                <a:pt x="2190" y="860535"/>
                <a:pt x="4379" y="1721069"/>
                <a:pt x="6569" y="2581604"/>
              </a:cubicBezTo>
              <a:lnTo>
                <a:pt x="4762500" y="2581604"/>
              </a:lnTo>
              <a:cubicBezTo>
                <a:pt x="4760310" y="2270673"/>
                <a:pt x="4758121" y="1959742"/>
                <a:pt x="4755931" y="1648811"/>
              </a:cubicBezTo>
              <a:close/>
            </a:path>
          </a:pathLst>
        </a:custGeom>
        <a:solidFill xmlns:a="http://schemas.openxmlformats.org/drawingml/2006/main">
          <a:srgbClr val="5BC4BE">
            <a:alpha val="50000"/>
          </a:srgb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295275</xdr:colOff>
      <xdr:row>1</xdr:row>
      <xdr:rowOff>85725</xdr:rowOff>
    </xdr:from>
    <xdr:to>
      <xdr:col>5</xdr:col>
      <xdr:colOff>200025</xdr:colOff>
      <xdr:row>12</xdr:row>
      <xdr:rowOff>47625</xdr:rowOff>
    </xdr:to>
    <xdr:sp macro="" textlink="">
      <xdr:nvSpPr>
        <xdr:cNvPr id="3" name="TextBox 2">
          <a:extLst>
            <a:ext uri="{FF2B5EF4-FFF2-40B4-BE49-F238E27FC236}">
              <a16:creationId xmlns:a16="http://schemas.microsoft.com/office/drawing/2014/main" id="{EF3589E2-661E-4186-8112-A912BF790D9E}"/>
            </a:ext>
          </a:extLst>
        </xdr:cNvPr>
        <xdr:cNvSpPr txBox="1"/>
      </xdr:nvSpPr>
      <xdr:spPr>
        <a:xfrm>
          <a:off x="295275" y="276225"/>
          <a:ext cx="3324225" cy="205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100" b="1"/>
            <a:t>Emissions</a:t>
          </a:r>
          <a:r>
            <a:rPr lang="en-NZ" sz="1100" b="1" baseline="0"/>
            <a:t> using Fifth Assessment Report GWPs (AR5</a:t>
          </a:r>
          <a:r>
            <a:rPr lang="en-NZ" sz="1100" baseline="0"/>
            <a:t>)</a:t>
          </a:r>
          <a:endParaRPr lang="en-NZ" sz="1100"/>
        </a:p>
        <a:p>
          <a:r>
            <a:rPr lang="en-NZ" sz="1100"/>
            <a:t>Past</a:t>
          </a:r>
          <a:r>
            <a:rPr lang="en-NZ" sz="1100" baseline="0"/>
            <a:t> emissions of methane, nitrous oxide and suplhur hexafluoride are directly converted to AR5 basis in this tab by multiplying by the ratio of the relative GWPs.</a:t>
          </a:r>
        </a:p>
        <a:p>
          <a:endParaRPr lang="en-NZ" sz="1100" baseline="0"/>
        </a:p>
        <a:p>
          <a:r>
            <a:rPr lang="en-NZ" sz="1100" baseline="0"/>
            <a:t>HFC and PFC emissions both represent catrgories of multiple gases and cannot be directly convrted in this fachion. The AR5 figures for HFC and PFC emissions here are drawn from the conversion done in the 3 tabs titled F-gas at the end of this spreadsheet.</a:t>
          </a:r>
          <a:br>
            <a:rPr lang="en-NZ" sz="1100" baseline="0"/>
          </a:br>
          <a:endParaRPr lang="en-NZ" sz="1100" baseline="0"/>
        </a:p>
        <a:p>
          <a:endParaRPr lang="en-NZ"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6350</xdr:colOff>
      <xdr:row>25</xdr:row>
      <xdr:rowOff>6350</xdr:rowOff>
    </xdr:from>
    <xdr:to>
      <xdr:col>14</xdr:col>
      <xdr:colOff>12700</xdr:colOff>
      <xdr:row>48</xdr:row>
      <xdr:rowOff>19050</xdr:rowOff>
    </xdr:to>
    <xdr:graphicFrame macro="">
      <xdr:nvGraphicFramePr>
        <xdr:cNvPr id="2" name="Chart 1">
          <a:extLst>
            <a:ext uri="{FF2B5EF4-FFF2-40B4-BE49-F238E27FC236}">
              <a16:creationId xmlns:a16="http://schemas.microsoft.com/office/drawing/2014/main" id="{8F15D3D3-7DE9-40A3-9AF6-576B5C5B67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0.48762</cdr:x>
      <cdr:y>0.59833</cdr:y>
    </cdr:from>
    <cdr:to>
      <cdr:x>0.61799</cdr:x>
      <cdr:y>0.67678</cdr:y>
    </cdr:to>
    <cdr:sp macro="" textlink="">
      <cdr:nvSpPr>
        <cdr:cNvPr id="2" name="TextBox 1"/>
        <cdr:cNvSpPr txBox="1"/>
      </cdr:nvSpPr>
      <cdr:spPr>
        <a:xfrm xmlns:a="http://schemas.openxmlformats.org/drawingml/2006/main">
          <a:off x="3325519" y="2855227"/>
          <a:ext cx="889111" cy="37436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NZ" sz="1100">
              <a:solidFill>
                <a:schemeClr val="bg1"/>
              </a:solidFill>
            </a:rPr>
            <a:t>Projected</a:t>
          </a:r>
        </a:p>
      </cdr:txBody>
    </cdr:sp>
  </cdr:relSizeAnchor>
  <cdr:relSizeAnchor xmlns:cdr="http://schemas.openxmlformats.org/drawingml/2006/chartDrawing">
    <cdr:from>
      <cdr:x>0.36597</cdr:x>
      <cdr:y>0.59856</cdr:y>
    </cdr:from>
    <cdr:to>
      <cdr:x>0.49014</cdr:x>
      <cdr:y>0.66721</cdr:y>
    </cdr:to>
    <cdr:sp macro="" textlink="">
      <cdr:nvSpPr>
        <cdr:cNvPr id="3" name="TextBox 2"/>
        <cdr:cNvSpPr txBox="1"/>
      </cdr:nvSpPr>
      <cdr:spPr>
        <a:xfrm xmlns:a="http://schemas.openxmlformats.org/drawingml/2006/main">
          <a:off x="2495878" y="2856325"/>
          <a:ext cx="846828" cy="32759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NZ" sz="1100">
              <a:solidFill>
                <a:schemeClr val="bg1"/>
              </a:solidFill>
            </a:rPr>
            <a:t>Historical</a:t>
          </a:r>
        </a:p>
      </cdr:txBody>
    </cdr:sp>
  </cdr:relSizeAnchor>
  <cdr:relSizeAnchor xmlns:cdr="http://schemas.openxmlformats.org/drawingml/2006/chartDrawing">
    <cdr:from>
      <cdr:x>0.508</cdr:x>
      <cdr:y>0.65765</cdr:y>
    </cdr:from>
    <cdr:to>
      <cdr:x>0.60837</cdr:x>
      <cdr:y>0.65765</cdr:y>
    </cdr:to>
    <cdr:cxnSp macro="">
      <cdr:nvCxnSpPr>
        <cdr:cNvPr id="5" name="Straight Arrow Connector 4">
          <a:extLst xmlns:a="http://schemas.openxmlformats.org/drawingml/2006/main">
            <a:ext uri="{FF2B5EF4-FFF2-40B4-BE49-F238E27FC236}">
              <a16:creationId xmlns:a16="http://schemas.microsoft.com/office/drawing/2014/main" id="{7B83DBE2-1FEB-423C-963A-D6320B517895}"/>
            </a:ext>
          </a:extLst>
        </cdr:cNvPr>
        <cdr:cNvCxnSpPr/>
      </cdr:nvCxnSpPr>
      <cdr:spPr>
        <a:xfrm xmlns:a="http://schemas.openxmlformats.org/drawingml/2006/main">
          <a:off x="3464509" y="3138304"/>
          <a:ext cx="684513" cy="0"/>
        </a:xfrm>
        <a:prstGeom xmlns:a="http://schemas.openxmlformats.org/drawingml/2006/main" prst="straightConnector1">
          <a:avLst/>
        </a:prstGeom>
        <a:ln xmlns:a="http://schemas.openxmlformats.org/drawingml/2006/main">
          <a:solidFill>
            <a:schemeClr val="bg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0.3716</cdr:x>
      <cdr:y>0.65956</cdr:y>
    </cdr:from>
    <cdr:to>
      <cdr:x>0.47178</cdr:x>
      <cdr:y>0.65974</cdr:y>
    </cdr:to>
    <cdr:cxnSp macro="">
      <cdr:nvCxnSpPr>
        <cdr:cNvPr id="8" name="Straight Arrow Connector 7">
          <a:extLst xmlns:a="http://schemas.openxmlformats.org/drawingml/2006/main">
            <a:ext uri="{FF2B5EF4-FFF2-40B4-BE49-F238E27FC236}">
              <a16:creationId xmlns:a16="http://schemas.microsoft.com/office/drawing/2014/main" id="{CA102628-ABB0-4B16-8763-95884077BF89}"/>
            </a:ext>
          </a:extLst>
        </cdr:cNvPr>
        <cdr:cNvCxnSpPr/>
      </cdr:nvCxnSpPr>
      <cdr:spPr>
        <a:xfrm xmlns:a="http://schemas.openxmlformats.org/drawingml/2006/main" flipH="1">
          <a:off x="2534274" y="3147418"/>
          <a:ext cx="683218" cy="859"/>
        </a:xfrm>
        <a:prstGeom xmlns:a="http://schemas.openxmlformats.org/drawingml/2006/main" prst="straightConnector1">
          <a:avLst/>
        </a:prstGeom>
        <a:ln xmlns:a="http://schemas.openxmlformats.org/drawingml/2006/main">
          <a:solidFill>
            <a:schemeClr val="bg1"/>
          </a:solidFill>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9.xml><?xml version="1.0" encoding="utf-8"?>
<xdr:wsDr xmlns:xdr="http://schemas.openxmlformats.org/drawingml/2006/spreadsheetDrawing" xmlns:a="http://schemas.openxmlformats.org/drawingml/2006/main">
  <xdr:twoCellAnchor>
    <xdr:from>
      <xdr:col>8</xdr:col>
      <xdr:colOff>561975</xdr:colOff>
      <xdr:row>4</xdr:row>
      <xdr:rowOff>19050</xdr:rowOff>
    </xdr:from>
    <xdr:to>
      <xdr:col>19</xdr:col>
      <xdr:colOff>209550</xdr:colOff>
      <xdr:row>19</xdr:row>
      <xdr:rowOff>104775</xdr:rowOff>
    </xdr:to>
    <xdr:sp macro="" textlink="">
      <xdr:nvSpPr>
        <xdr:cNvPr id="2" name="TextBox 1">
          <a:extLst>
            <a:ext uri="{FF2B5EF4-FFF2-40B4-BE49-F238E27FC236}">
              <a16:creationId xmlns:a16="http://schemas.microsoft.com/office/drawing/2014/main" id="{45CD0122-C315-4D6D-9ABA-B9E054F2FB64}"/>
            </a:ext>
          </a:extLst>
        </xdr:cNvPr>
        <xdr:cNvSpPr txBox="1"/>
      </xdr:nvSpPr>
      <xdr:spPr>
        <a:xfrm>
          <a:off x="6610350" y="781050"/>
          <a:ext cx="6734175" cy="2943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100" b="1"/>
            <a:t>F-gas conversion</a:t>
          </a:r>
        </a:p>
        <a:p>
          <a:r>
            <a:rPr lang="en-NZ" sz="1100"/>
            <a:t>Data in rows 8 to 41 applies the selected GWP to convert emissions of the given F-gas to kt CO2-e, where applicable. Where</a:t>
          </a:r>
          <a:r>
            <a:rPr lang="en-NZ" sz="1100" baseline="0"/>
            <a:t> there were no emissions of a gas in a givewn year the calculation will not return a value. These messages are ignored in summing up totals.</a:t>
          </a:r>
        </a:p>
        <a:p>
          <a:endParaRPr lang="en-NZ" sz="1100" baseline="0"/>
        </a:p>
        <a:p>
          <a:r>
            <a:rPr lang="en-NZ" sz="1100" baseline="0"/>
            <a:t>The national greenhouse gas inventory totals include a small quantity of HFC emissions from Tokelau. These have not been broken down by gas in published figures. Here, we have added the total emissions of HFCs from Tokelau into the calculated sum for consistency. Tokelau's HFC emissions here are not adjusted for different GWPs, however this difference is not material.</a:t>
          </a:r>
        </a:p>
        <a:p>
          <a:endParaRPr lang="en-NZ" sz="1100" b="0" baseline="0"/>
        </a:p>
        <a:p>
          <a:r>
            <a:rPr lang="en-NZ" sz="1100" b="0" baseline="0"/>
            <a:t>Rows 2 and 3 allow checks to be down that the calculated values applying the AR4 GWPs by gas match the given figures in CO2-e drawn fromn the national greenhouse gas inventory.</a:t>
          </a:r>
        </a:p>
        <a:p>
          <a:endParaRPr lang="en-NZ" sz="1100" b="0" baseline="0"/>
        </a:p>
        <a:p>
          <a:r>
            <a:rPr lang="en-NZ" sz="1100" b="0" baseline="0"/>
            <a:t>The summed totals of emissions based calculating using the AR4 GWPs differ from the given figures from the greenhouse gas inventory here only due to rounding of the original figures beyond the tenth decimal place. Cell 5 allows a threhsold for rounding differences to be set for the second set of error checks.</a:t>
          </a:r>
          <a:br>
            <a:rPr lang="en-NZ" sz="1100" b="0" baseline="0"/>
          </a:br>
          <a:br>
            <a:rPr lang="en-NZ" sz="1100" b="0" baseline="0"/>
          </a:br>
          <a:r>
            <a:rPr lang="en-NZ" sz="1100" b="0" baseline="0"/>
            <a:t>Cell</a:t>
          </a:r>
          <a:endParaRPr lang="en-NZ" sz="1100" baseline="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https://www.mfe.govt.nz/climate-change/state-of-our-atmosphere-and-climate/new-zealands-greenhouse-gas-inventory"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1" Type="http://schemas.openxmlformats.org/officeDocument/2006/relationships/hyperlink" Target="https://data.ene.iiasa.ac.at/iamc-1.5c-explorer/"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environment.govt.nz/publications/new-zealands-greenhouse-gas-inventory-1990-2019/"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ghgprotocol.org/sites/default/files/ghgp/Global-Warming-Potential-Values%20%28Feb%2016%202016%29_1.pdf"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0DE67-D3AE-447A-BB72-91F081E61178}">
  <dimension ref="A2:B32"/>
  <sheetViews>
    <sheetView workbookViewId="0">
      <selection activeCell="A14" sqref="A14"/>
    </sheetView>
  </sheetViews>
  <sheetFormatPr defaultRowHeight="15" x14ac:dyDescent="0.25"/>
  <cols>
    <col min="1" max="1" width="31" bestFit="1" customWidth="1"/>
  </cols>
  <sheetData>
    <row r="2" spans="1:2" x14ac:dyDescent="0.25">
      <c r="A2" t="s">
        <v>192</v>
      </c>
    </row>
    <row r="3" spans="1:2" x14ac:dyDescent="0.25">
      <c r="A3" s="1" t="s">
        <v>193</v>
      </c>
    </row>
    <row r="4" spans="1:2" x14ac:dyDescent="0.25">
      <c r="A4" s="80"/>
      <c r="B4" t="s">
        <v>194</v>
      </c>
    </row>
    <row r="5" spans="1:2" x14ac:dyDescent="0.25">
      <c r="A5" s="81"/>
      <c r="B5" t="s">
        <v>195</v>
      </c>
    </row>
    <row r="6" spans="1:2" x14ac:dyDescent="0.25">
      <c r="A6" s="82"/>
      <c r="B6" t="s">
        <v>199</v>
      </c>
    </row>
    <row r="7" spans="1:2" x14ac:dyDescent="0.25">
      <c r="A7" s="135"/>
      <c r="B7" t="s">
        <v>358</v>
      </c>
    </row>
    <row r="9" spans="1:2" x14ac:dyDescent="0.25">
      <c r="A9" s="1" t="s">
        <v>196</v>
      </c>
    </row>
    <row r="10" spans="1:2" x14ac:dyDescent="0.25">
      <c r="A10" s="3"/>
      <c r="B10" t="s">
        <v>198</v>
      </c>
    </row>
    <row r="11" spans="1:2" x14ac:dyDescent="0.25">
      <c r="A11" s="34"/>
      <c r="B11" t="s">
        <v>197</v>
      </c>
    </row>
    <row r="16" spans="1:2" x14ac:dyDescent="0.25">
      <c r="A16" s="1" t="s">
        <v>219</v>
      </c>
    </row>
    <row r="17" spans="1:2" x14ac:dyDescent="0.25">
      <c r="A17" s="19" t="s">
        <v>200</v>
      </c>
      <c r="B17" t="s">
        <v>205</v>
      </c>
    </row>
    <row r="18" spans="1:2" x14ac:dyDescent="0.25">
      <c r="A18" s="19" t="s">
        <v>202</v>
      </c>
      <c r="B18" t="s">
        <v>232</v>
      </c>
    </row>
    <row r="19" spans="1:2" x14ac:dyDescent="0.25">
      <c r="A19" s="19" t="s">
        <v>203</v>
      </c>
      <c r="B19" t="s">
        <v>201</v>
      </c>
    </row>
    <row r="20" spans="1:2" x14ac:dyDescent="0.25">
      <c r="A20" s="19" t="s">
        <v>204</v>
      </c>
      <c r="B20" t="s">
        <v>206</v>
      </c>
    </row>
    <row r="21" spans="1:2" x14ac:dyDescent="0.25">
      <c r="A21" s="19" t="s">
        <v>207</v>
      </c>
      <c r="B21" t="s">
        <v>220</v>
      </c>
    </row>
    <row r="22" spans="1:2" x14ac:dyDescent="0.25">
      <c r="A22" s="19" t="s">
        <v>208</v>
      </c>
      <c r="B22" t="s">
        <v>209</v>
      </c>
    </row>
    <row r="23" spans="1:2" x14ac:dyDescent="0.25">
      <c r="A23" s="19" t="s">
        <v>210</v>
      </c>
      <c r="B23" t="s">
        <v>211</v>
      </c>
    </row>
    <row r="24" spans="1:2" x14ac:dyDescent="0.25">
      <c r="A24" s="19" t="s">
        <v>74</v>
      </c>
      <c r="B24" t="s">
        <v>212</v>
      </c>
    </row>
    <row r="25" spans="1:2" x14ac:dyDescent="0.25">
      <c r="A25" s="19" t="s">
        <v>185</v>
      </c>
      <c r="B25" s="11" t="s">
        <v>213</v>
      </c>
    </row>
    <row r="26" spans="1:2" x14ac:dyDescent="0.25">
      <c r="A26" s="19" t="s">
        <v>214</v>
      </c>
      <c r="B26" t="s">
        <v>231</v>
      </c>
    </row>
    <row r="27" spans="1:2" x14ac:dyDescent="0.25">
      <c r="A27" s="19" t="s">
        <v>215</v>
      </c>
      <c r="B27" t="s">
        <v>216</v>
      </c>
    </row>
    <row r="28" spans="1:2" x14ac:dyDescent="0.25">
      <c r="A28" s="19" t="s">
        <v>217</v>
      </c>
      <c r="B28" t="s">
        <v>218</v>
      </c>
    </row>
    <row r="29" spans="1:2" x14ac:dyDescent="0.25">
      <c r="A29" s="19" t="s">
        <v>354</v>
      </c>
      <c r="B29" t="s">
        <v>355</v>
      </c>
    </row>
    <row r="30" spans="1:2" x14ac:dyDescent="0.25">
      <c r="A30" s="19" t="s">
        <v>357</v>
      </c>
      <c r="B30" t="s">
        <v>359</v>
      </c>
    </row>
    <row r="31" spans="1:2" x14ac:dyDescent="0.25">
      <c r="A31" s="19" t="s">
        <v>360</v>
      </c>
      <c r="B31" t="s">
        <v>361</v>
      </c>
    </row>
    <row r="32" spans="1:2" x14ac:dyDescent="0.25">
      <c r="A32" s="19" t="s">
        <v>362</v>
      </c>
      <c r="B32" t="s">
        <v>363</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DD78A-0AA1-474F-96A8-BBA2C4EB5A73}">
  <sheetPr>
    <tabColor theme="6"/>
  </sheetPr>
  <dimension ref="A1:CJ28"/>
  <sheetViews>
    <sheetView workbookViewId="0">
      <pane xSplit="2" ySplit="1" topLeftCell="C2" activePane="bottomRight" state="frozen"/>
      <selection pane="topRight" activeCell="C1" sqref="C1"/>
      <selection pane="bottomLeft" activeCell="A2" sqref="A2"/>
      <selection pane="bottomRight" activeCell="J33" sqref="J33"/>
    </sheetView>
  </sheetViews>
  <sheetFormatPr defaultColWidth="9.140625" defaultRowHeight="15" x14ac:dyDescent="0.25"/>
  <cols>
    <col min="1" max="1" width="47.5703125" style="11" bestFit="1" customWidth="1"/>
    <col min="2" max="2" width="20.5703125" style="11" bestFit="1" customWidth="1"/>
    <col min="3" max="16384" width="9.140625" style="11"/>
  </cols>
  <sheetData>
    <row r="1" spans="1:88" x14ac:dyDescent="0.25">
      <c r="A1" s="1" t="s">
        <v>365</v>
      </c>
      <c r="C1" s="11">
        <v>1990</v>
      </c>
      <c r="D1" s="11">
        <v>1991</v>
      </c>
      <c r="E1" s="11">
        <v>1992</v>
      </c>
      <c r="F1" s="11">
        <v>1993</v>
      </c>
      <c r="G1" s="11">
        <v>1994</v>
      </c>
      <c r="H1" s="11">
        <v>1995</v>
      </c>
      <c r="I1" s="11">
        <v>1996</v>
      </c>
      <c r="J1" s="11">
        <v>1997</v>
      </c>
      <c r="K1" s="11">
        <v>1998</v>
      </c>
      <c r="L1" s="11">
        <v>1999</v>
      </c>
      <c r="M1" s="11">
        <v>2000</v>
      </c>
      <c r="N1" s="11">
        <v>2001</v>
      </c>
      <c r="O1" s="11">
        <v>2002</v>
      </c>
      <c r="P1" s="11">
        <v>2003</v>
      </c>
      <c r="Q1" s="11">
        <v>2004</v>
      </c>
      <c r="R1" s="11">
        <v>2005</v>
      </c>
      <c r="S1" s="11">
        <v>2006</v>
      </c>
      <c r="T1" s="11">
        <v>2007</v>
      </c>
      <c r="U1" s="11">
        <v>2008</v>
      </c>
      <c r="V1" s="11">
        <v>2009</v>
      </c>
      <c r="W1" s="11">
        <v>2010</v>
      </c>
      <c r="X1" s="11">
        <v>2011</v>
      </c>
      <c r="Y1" s="11">
        <v>2012</v>
      </c>
      <c r="Z1" s="11">
        <v>2013</v>
      </c>
      <c r="AA1" s="11">
        <v>2014</v>
      </c>
      <c r="AB1" s="11">
        <v>2015</v>
      </c>
      <c r="AC1" s="11">
        <v>2016</v>
      </c>
      <c r="AD1" s="11">
        <v>2017</v>
      </c>
      <c r="AE1" s="11">
        <v>2018</v>
      </c>
      <c r="AF1" s="11">
        <v>2019</v>
      </c>
      <c r="AG1" s="11">
        <v>2020</v>
      </c>
      <c r="AH1" s="11">
        <v>2021</v>
      </c>
      <c r="AI1" s="11">
        <v>2022</v>
      </c>
      <c r="AJ1" s="11">
        <v>2023</v>
      </c>
      <c r="AK1" s="11">
        <v>2024</v>
      </c>
      <c r="AL1" s="11">
        <v>2025</v>
      </c>
      <c r="AM1" s="11">
        <v>2026</v>
      </c>
      <c r="AN1" s="11">
        <v>2027</v>
      </c>
      <c r="AO1" s="11">
        <v>2028</v>
      </c>
      <c r="AP1" s="11">
        <v>2029</v>
      </c>
      <c r="AQ1" s="11">
        <v>2030</v>
      </c>
      <c r="AR1" s="11">
        <v>2031</v>
      </c>
      <c r="AS1" s="11">
        <v>2032</v>
      </c>
      <c r="AT1" s="11">
        <v>2033</v>
      </c>
      <c r="AU1" s="11">
        <v>2034</v>
      </c>
      <c r="AV1" s="11">
        <v>2035</v>
      </c>
      <c r="AW1" s="11">
        <v>2036</v>
      </c>
      <c r="AX1" s="11">
        <v>2037</v>
      </c>
      <c r="AY1" s="11">
        <v>2038</v>
      </c>
      <c r="AZ1" s="11">
        <v>2039</v>
      </c>
      <c r="BA1" s="11">
        <v>2040</v>
      </c>
      <c r="BB1" s="11">
        <v>2041</v>
      </c>
      <c r="BC1" s="11">
        <v>2042</v>
      </c>
      <c r="BD1" s="11">
        <v>2043</v>
      </c>
      <c r="BE1" s="11">
        <v>2044</v>
      </c>
      <c r="BF1" s="11">
        <v>2045</v>
      </c>
      <c r="BG1" s="11">
        <v>2046</v>
      </c>
      <c r="BH1" s="11">
        <v>2047</v>
      </c>
      <c r="BI1" s="11">
        <v>2048</v>
      </c>
      <c r="BJ1" s="11">
        <v>2049</v>
      </c>
      <c r="BK1" s="11">
        <v>2050</v>
      </c>
    </row>
    <row r="3" spans="1:88" x14ac:dyDescent="0.25">
      <c r="A3" s="11" t="s">
        <v>184</v>
      </c>
      <c r="B3" s="11" t="s">
        <v>181</v>
      </c>
      <c r="C3" s="66">
        <v>8772.237679509617</v>
      </c>
      <c r="D3" s="66">
        <v>8767.2752630880786</v>
      </c>
      <c r="E3" s="66">
        <v>9144.4364512633001</v>
      </c>
      <c r="F3" s="66">
        <v>9608.6919084949586</v>
      </c>
      <c r="G3" s="66">
        <v>10284.24640548394</v>
      </c>
      <c r="H3" s="66">
        <v>10963.5811868091</v>
      </c>
      <c r="I3" s="66">
        <v>11105.827971935279</v>
      </c>
      <c r="J3" s="66">
        <v>11340.879408676319</v>
      </c>
      <c r="K3" s="66">
        <v>11560.848690715829</v>
      </c>
      <c r="L3" s="66">
        <v>11861.218239795449</v>
      </c>
      <c r="M3" s="66">
        <v>12425.078726604441</v>
      </c>
      <c r="N3" s="66">
        <v>12491.27817453937</v>
      </c>
      <c r="O3" s="66">
        <v>12958.92107536812</v>
      </c>
      <c r="P3" s="66">
        <v>13511.211706173201</v>
      </c>
      <c r="Q3" s="66">
        <v>13819.50856164403</v>
      </c>
      <c r="R3" s="66">
        <v>13901.431354259939</v>
      </c>
      <c r="S3" s="66">
        <v>14032.69533593376</v>
      </c>
      <c r="T3" s="66">
        <v>14147.48861768307</v>
      </c>
      <c r="U3" s="66">
        <v>14180.74981805429</v>
      </c>
      <c r="V3" s="66">
        <v>13995.876029315939</v>
      </c>
      <c r="W3" s="66">
        <v>14290.214748466929</v>
      </c>
      <c r="X3" s="66">
        <v>14292.042449893719</v>
      </c>
      <c r="Y3" s="66">
        <v>14019.361964273339</v>
      </c>
      <c r="Z3" s="66">
        <v>14088.703497843169</v>
      </c>
      <c r="AA3" s="66">
        <v>14356.621057612299</v>
      </c>
      <c r="AB3" s="66">
        <v>14852.62960557593</v>
      </c>
      <c r="AC3" s="66">
        <v>14978.119688518909</v>
      </c>
      <c r="AD3" s="66">
        <v>15883.998644606911</v>
      </c>
      <c r="AE3" s="66">
        <v>16215.892718847561</v>
      </c>
      <c r="AF3" s="66">
        <v>16207.59773663236</v>
      </c>
      <c r="AG3" s="66">
        <v>14509.190355090541</v>
      </c>
      <c r="AH3" s="66">
        <v>15507.522581286939</v>
      </c>
      <c r="AI3" s="66">
        <v>16338.80552440381</v>
      </c>
      <c r="AJ3" s="66">
        <v>16785.81643492735</v>
      </c>
      <c r="AK3" s="66">
        <v>16879.121314200362</v>
      </c>
      <c r="AL3" s="66">
        <v>16948.169834958921</v>
      </c>
      <c r="AM3" s="66">
        <v>17001.50818974556</v>
      </c>
      <c r="AN3" s="66">
        <v>17030.3175027668</v>
      </c>
      <c r="AO3" s="66">
        <v>17001.59476299625</v>
      </c>
      <c r="AP3" s="66">
        <v>16934.75353018711</v>
      </c>
      <c r="AQ3" s="66">
        <v>16837.572828626769</v>
      </c>
      <c r="AR3" s="66">
        <v>16705.292389545019</v>
      </c>
      <c r="AS3" s="66">
        <v>16529.775839370101</v>
      </c>
      <c r="AT3" s="66">
        <v>16329.841540303551</v>
      </c>
      <c r="AU3" s="66">
        <v>16043.61289119199</v>
      </c>
      <c r="AV3" s="66">
        <v>15733.42334266183</v>
      </c>
      <c r="AW3" s="66">
        <v>15367.033204136391</v>
      </c>
      <c r="AX3" s="66">
        <v>14947.119756081531</v>
      </c>
      <c r="AY3" s="66">
        <v>14460.20984248885</v>
      </c>
      <c r="AZ3" s="66">
        <v>14009.601572113541</v>
      </c>
      <c r="BA3" s="66">
        <v>13525.08948890807</v>
      </c>
      <c r="BB3" s="66">
        <v>12958.908483623751</v>
      </c>
      <c r="BC3" s="66">
        <v>12476.03904098834</v>
      </c>
      <c r="BD3" s="66">
        <v>11922.516378994191</v>
      </c>
      <c r="BE3" s="66">
        <v>11377.204484831969</v>
      </c>
      <c r="BF3" s="66">
        <v>10755.560334350301</v>
      </c>
      <c r="BG3" s="66">
        <v>10185.6485861233</v>
      </c>
      <c r="BH3" s="66">
        <v>9554.4405779898061</v>
      </c>
      <c r="BI3" s="66">
        <v>8958.2767742694978</v>
      </c>
      <c r="BJ3" s="66">
        <v>8359.7775631779459</v>
      </c>
      <c r="BK3" s="66">
        <v>7765.5167300621579</v>
      </c>
      <c r="BL3" s="66"/>
      <c r="BM3" s="66"/>
      <c r="BN3" s="66"/>
      <c r="BO3" s="66"/>
      <c r="BP3" s="66"/>
      <c r="BQ3" s="66"/>
      <c r="BR3" s="66"/>
      <c r="BS3" s="66"/>
      <c r="BT3" s="66"/>
      <c r="BU3" s="66"/>
      <c r="BV3" s="66"/>
      <c r="BW3" s="66"/>
      <c r="BX3" s="66"/>
      <c r="BY3" s="66"/>
      <c r="BZ3" s="66"/>
      <c r="CA3" s="66"/>
      <c r="CB3" s="66"/>
      <c r="CC3" s="66"/>
      <c r="CD3" s="66"/>
      <c r="CE3" s="66"/>
      <c r="CF3" s="66"/>
      <c r="CG3" s="66"/>
      <c r="CH3" s="66"/>
      <c r="CI3" s="66"/>
      <c r="CJ3" s="66"/>
    </row>
    <row r="4" spans="1:88" x14ac:dyDescent="0.25">
      <c r="B4" s="11" t="s">
        <v>180</v>
      </c>
      <c r="C4" s="66">
        <v>14972.28581319526</v>
      </c>
      <c r="D4" s="66">
        <v>15358.83105968143</v>
      </c>
      <c r="E4" s="66">
        <v>16828.009577396409</v>
      </c>
      <c r="F4" s="66">
        <v>15789.29746872414</v>
      </c>
      <c r="G4" s="66">
        <v>15398.598771788</v>
      </c>
      <c r="H4" s="66">
        <v>14705.2067950775</v>
      </c>
      <c r="I4" s="66">
        <v>16043.10418271788</v>
      </c>
      <c r="J4" s="66">
        <v>17718.93491909725</v>
      </c>
      <c r="K4" s="66">
        <v>15971.20490640322</v>
      </c>
      <c r="L4" s="66">
        <v>17115.533735130699</v>
      </c>
      <c r="M4" s="66">
        <v>17354.36062749301</v>
      </c>
      <c r="N4" s="66">
        <v>19299.499745137371</v>
      </c>
      <c r="O4" s="66">
        <v>18852.477888087731</v>
      </c>
      <c r="P4" s="66">
        <v>19716.251860786091</v>
      </c>
      <c r="Q4" s="66">
        <v>19026.297046572781</v>
      </c>
      <c r="R4" s="66">
        <v>20412.54393541687</v>
      </c>
      <c r="S4" s="66">
        <v>20565.127558370579</v>
      </c>
      <c r="T4" s="66">
        <v>19157.885034476851</v>
      </c>
      <c r="U4" s="66">
        <v>20577.994791316061</v>
      </c>
      <c r="V4" s="66">
        <v>18076.653963182089</v>
      </c>
      <c r="W4" s="66">
        <v>17767.289656517849</v>
      </c>
      <c r="X4" s="66">
        <v>17008.13219754996</v>
      </c>
      <c r="Y4" s="66">
        <v>18797.165368663609</v>
      </c>
      <c r="Z4" s="66">
        <v>17937.19799111149</v>
      </c>
      <c r="AA4" s="66">
        <v>17767.466481148851</v>
      </c>
      <c r="AB4" s="66">
        <v>17675.198871578301</v>
      </c>
      <c r="AC4" s="66">
        <v>16062.283064617181</v>
      </c>
      <c r="AD4" s="66">
        <v>16716.488652812401</v>
      </c>
      <c r="AE4" s="66">
        <v>16336.02575134769</v>
      </c>
      <c r="AF4" s="66">
        <v>18055.453356820901</v>
      </c>
      <c r="AG4" s="66">
        <v>18538.236077285401</v>
      </c>
      <c r="AH4" s="66">
        <v>17206.286129717559</v>
      </c>
      <c r="AI4" s="66">
        <v>16934.386713937351</v>
      </c>
      <c r="AJ4" s="66">
        <v>15907.725801394399</v>
      </c>
      <c r="AK4" s="66">
        <v>15378.96341559853</v>
      </c>
      <c r="AL4" s="66">
        <v>13418.256920257591</v>
      </c>
      <c r="AM4" s="66">
        <v>13597.514650923729</v>
      </c>
      <c r="AN4" s="66">
        <v>13760.27967338266</v>
      </c>
      <c r="AO4" s="66">
        <v>13926.260089216061</v>
      </c>
      <c r="AP4" s="66">
        <v>14084.46719058009</v>
      </c>
      <c r="AQ4" s="66">
        <v>13677.38782992097</v>
      </c>
      <c r="AR4" s="66">
        <v>13841.474138032319</v>
      </c>
      <c r="AS4" s="66">
        <v>13865.67645869757</v>
      </c>
      <c r="AT4" s="66">
        <v>13885.761945786429</v>
      </c>
      <c r="AU4" s="66">
        <v>13931.044420091421</v>
      </c>
      <c r="AV4" s="66">
        <v>13967.053942655621</v>
      </c>
      <c r="AW4" s="66">
        <v>14001.861429161891</v>
      </c>
      <c r="AX4" s="66">
        <v>14041.339645494299</v>
      </c>
      <c r="AY4" s="66">
        <v>14089.350085293911</v>
      </c>
      <c r="AZ4" s="66">
        <v>14088.559379013341</v>
      </c>
      <c r="BA4" s="66">
        <v>13539.228190796241</v>
      </c>
      <c r="BB4" s="66">
        <v>13557.187850189161</v>
      </c>
      <c r="BC4" s="66">
        <v>13381.459474365431</v>
      </c>
      <c r="BD4" s="66">
        <v>13462.607107283209</v>
      </c>
      <c r="BE4" s="66">
        <v>13540.16231430074</v>
      </c>
      <c r="BF4" s="66">
        <v>13583.576704372539</v>
      </c>
      <c r="BG4" s="66">
        <v>13487.31860806644</v>
      </c>
      <c r="BH4" s="66">
        <v>13479.776776371709</v>
      </c>
      <c r="BI4" s="66">
        <v>13468.40798878796</v>
      </c>
      <c r="BJ4" s="66">
        <v>13421.5999434271</v>
      </c>
      <c r="BK4" s="66">
        <v>13045.723067522111</v>
      </c>
      <c r="BL4" s="66"/>
      <c r="BM4" s="66"/>
      <c r="BN4" s="66"/>
      <c r="BO4" s="66"/>
      <c r="BP4" s="66"/>
      <c r="BQ4" s="66"/>
      <c r="BR4" s="66"/>
      <c r="BS4" s="66"/>
      <c r="BT4" s="66"/>
      <c r="BU4" s="66"/>
      <c r="BV4" s="66"/>
      <c r="BW4" s="66"/>
      <c r="BX4" s="66"/>
      <c r="BY4" s="66"/>
      <c r="BZ4" s="66"/>
      <c r="CA4" s="66"/>
      <c r="CB4" s="66"/>
      <c r="CC4" s="66"/>
      <c r="CD4" s="66"/>
      <c r="CE4" s="66"/>
      <c r="CF4" s="66"/>
      <c r="CG4" s="66"/>
      <c r="CH4" s="66"/>
      <c r="CI4" s="66"/>
      <c r="CJ4" s="66"/>
    </row>
    <row r="5" spans="1:88" x14ac:dyDescent="0.25">
      <c r="B5" s="11" t="s">
        <v>179</v>
      </c>
      <c r="C5" s="66">
        <v>3579.9241346438948</v>
      </c>
      <c r="D5" s="66">
        <v>3728.6111222987829</v>
      </c>
      <c r="E5" s="66">
        <v>3374.0926125681872</v>
      </c>
      <c r="F5" s="66">
        <v>3213.46424400559</v>
      </c>
      <c r="G5" s="66">
        <v>3082.8039477327038</v>
      </c>
      <c r="H5" s="66">
        <v>3174.431966103547</v>
      </c>
      <c r="I5" s="66">
        <v>3374.1291486420491</v>
      </c>
      <c r="J5" s="66">
        <v>3234.7668142669222</v>
      </c>
      <c r="K5" s="66">
        <v>3261.322727829941</v>
      </c>
      <c r="L5" s="66">
        <v>3398.6403172224541</v>
      </c>
      <c r="M5" s="66">
        <v>3443.2215068220412</v>
      </c>
      <c r="N5" s="66">
        <v>3558.481017277556</v>
      </c>
      <c r="O5" s="66">
        <v>3680.4558967406151</v>
      </c>
      <c r="P5" s="66">
        <v>3916.5350179642091</v>
      </c>
      <c r="Q5" s="66">
        <v>3952.997270519284</v>
      </c>
      <c r="R5" s="66">
        <v>4061.6484302342869</v>
      </c>
      <c r="S5" s="66">
        <v>4171.1765319764372</v>
      </c>
      <c r="T5" s="66">
        <v>4420.9728580868059</v>
      </c>
      <c r="U5" s="66">
        <v>4320.1106227639484</v>
      </c>
      <c r="V5" s="66">
        <v>4193.1815124439063</v>
      </c>
      <c r="W5" s="66">
        <v>4543.7084841158439</v>
      </c>
      <c r="X5" s="66">
        <v>4632.1515876130061</v>
      </c>
      <c r="Y5" s="66">
        <v>4672.9275485600028</v>
      </c>
      <c r="Z5" s="66">
        <v>4819.442430217081</v>
      </c>
      <c r="AA5" s="66">
        <v>4987.2835293870512</v>
      </c>
      <c r="AB5" s="66">
        <v>5189.6507094176031</v>
      </c>
      <c r="AC5" s="66">
        <v>5037.5346044766484</v>
      </c>
      <c r="AD5" s="66">
        <v>5136.0643293733483</v>
      </c>
      <c r="AE5" s="66">
        <v>5186.9128282624524</v>
      </c>
      <c r="AF5" s="66">
        <v>5115.9066787428146</v>
      </c>
      <c r="AG5" s="66">
        <v>5101.7033179749506</v>
      </c>
      <c r="AH5" s="66">
        <v>5097.4255598662276</v>
      </c>
      <c r="AI5" s="66">
        <v>5140.6691626820084</v>
      </c>
      <c r="AJ5" s="66">
        <v>5166.1401603787381</v>
      </c>
      <c r="AK5" s="66">
        <v>5210.3283515458206</v>
      </c>
      <c r="AL5" s="66">
        <v>4544.7430986579266</v>
      </c>
      <c r="AM5" s="66">
        <v>4534.0669885454254</v>
      </c>
      <c r="AN5" s="66">
        <v>4484.0288796497289</v>
      </c>
      <c r="AO5" s="66">
        <v>4440.3166033114276</v>
      </c>
      <c r="AP5" s="66">
        <v>4419.7514162956004</v>
      </c>
      <c r="AQ5" s="66">
        <v>4358.6490564550804</v>
      </c>
      <c r="AR5" s="66">
        <v>4313.5855418184274</v>
      </c>
      <c r="AS5" s="66">
        <v>4270.656978899643</v>
      </c>
      <c r="AT5" s="66">
        <v>4214.9337089418696</v>
      </c>
      <c r="AU5" s="66">
        <v>4168.3952387620138</v>
      </c>
      <c r="AV5" s="66">
        <v>4140.1533709457199</v>
      </c>
      <c r="AW5" s="66">
        <v>4101.4559814530048</v>
      </c>
      <c r="AX5" s="66">
        <v>4075.8620964925258</v>
      </c>
      <c r="AY5" s="66">
        <v>4052.6338167069739</v>
      </c>
      <c r="AZ5" s="66">
        <v>4031.8788942586411</v>
      </c>
      <c r="BA5" s="66">
        <v>3984.5346102009639</v>
      </c>
      <c r="BB5" s="66">
        <v>3970.9258258019208</v>
      </c>
      <c r="BC5" s="66">
        <v>3960.6398472025521</v>
      </c>
      <c r="BD5" s="66">
        <v>3956.6353343765059</v>
      </c>
      <c r="BE5" s="66">
        <v>3956.192227413419</v>
      </c>
      <c r="BF5" s="66">
        <v>3958.9090480091631</v>
      </c>
      <c r="BG5" s="66">
        <v>3965.701232810809</v>
      </c>
      <c r="BH5" s="66">
        <v>3976.7100342623112</v>
      </c>
      <c r="BI5" s="66">
        <v>3990.2878975304352</v>
      </c>
      <c r="BJ5" s="66">
        <v>4005.37062559173</v>
      </c>
      <c r="BK5" s="66">
        <v>4024.177176159114</v>
      </c>
      <c r="BL5" s="66"/>
      <c r="BM5" s="66"/>
      <c r="BN5" s="66"/>
      <c r="BO5" s="66"/>
      <c r="BP5" s="66"/>
      <c r="BQ5" s="66"/>
      <c r="BR5" s="66"/>
      <c r="BS5" s="66"/>
      <c r="BT5" s="66"/>
      <c r="BU5" s="66"/>
      <c r="BV5" s="66"/>
      <c r="BW5" s="66"/>
      <c r="BX5" s="66"/>
      <c r="BY5" s="66"/>
      <c r="BZ5" s="66"/>
      <c r="CA5" s="66"/>
      <c r="CB5" s="66"/>
      <c r="CC5" s="66"/>
      <c r="CD5" s="66"/>
      <c r="CE5" s="66"/>
      <c r="CF5" s="66"/>
      <c r="CG5" s="66"/>
      <c r="CH5" s="66"/>
      <c r="CI5" s="66"/>
      <c r="CJ5" s="66"/>
    </row>
    <row r="6" spans="1:88" x14ac:dyDescent="0.25">
      <c r="B6" s="11" t="s">
        <v>178</v>
      </c>
      <c r="C6" s="66">
        <v>33840.283749161157</v>
      </c>
      <c r="D6" s="66">
        <v>34074.831274586613</v>
      </c>
      <c r="E6" s="66">
        <v>33628.445253347221</v>
      </c>
      <c r="F6" s="66">
        <v>34020.004291135643</v>
      </c>
      <c r="G6" s="66">
        <v>35204.865105422592</v>
      </c>
      <c r="H6" s="66">
        <v>35814.008590280282</v>
      </c>
      <c r="I6" s="66">
        <v>36107.580122203988</v>
      </c>
      <c r="J6" s="66">
        <v>36971.02848862861</v>
      </c>
      <c r="K6" s="66">
        <v>36374.340734175443</v>
      </c>
      <c r="L6" s="66">
        <v>36563.713603897733</v>
      </c>
      <c r="M6" s="66">
        <v>37719.307740155178</v>
      </c>
      <c r="N6" s="66">
        <v>38558.352186850483</v>
      </c>
      <c r="O6" s="66">
        <v>38574.730959985427</v>
      </c>
      <c r="P6" s="66">
        <v>39180.878108018776</v>
      </c>
      <c r="Q6" s="66">
        <v>39321.158287361934</v>
      </c>
      <c r="R6" s="66">
        <v>39685.908703505636</v>
      </c>
      <c r="S6" s="66">
        <v>39520.160212432747</v>
      </c>
      <c r="T6" s="66">
        <v>38607.660637688343</v>
      </c>
      <c r="U6" s="66">
        <v>37424.447714031812</v>
      </c>
      <c r="V6" s="66">
        <v>37647.347589056277</v>
      </c>
      <c r="W6" s="66">
        <v>37803.953080710773</v>
      </c>
      <c r="X6" s="66">
        <v>38457.727854158496</v>
      </c>
      <c r="Y6" s="66">
        <v>39307.101501168298</v>
      </c>
      <c r="Z6" s="66">
        <v>39384.71093180446</v>
      </c>
      <c r="AA6" s="66">
        <v>40009.999570326647</v>
      </c>
      <c r="AB6" s="66">
        <v>39493.478727345217</v>
      </c>
      <c r="AC6" s="66">
        <v>39115.279885961427</v>
      </c>
      <c r="AD6" s="66">
        <v>39106.182060821491</v>
      </c>
      <c r="AE6" s="66">
        <v>39470.543281588863</v>
      </c>
      <c r="AF6" s="66">
        <v>39617.706286414643</v>
      </c>
      <c r="AG6" s="66">
        <v>38659.609491014613</v>
      </c>
      <c r="AH6" s="66">
        <v>38343.725471566097</v>
      </c>
      <c r="AI6" s="66">
        <v>38010.305943289452</v>
      </c>
      <c r="AJ6" s="66">
        <v>37729.581477913147</v>
      </c>
      <c r="AK6" s="66">
        <v>37435.480232320377</v>
      </c>
      <c r="AL6" s="66">
        <v>37274.849125003733</v>
      </c>
      <c r="AM6" s="66">
        <v>37179.238107356578</v>
      </c>
      <c r="AN6" s="66">
        <v>37061.127179214993</v>
      </c>
      <c r="AO6" s="66">
        <v>36959.051106637649</v>
      </c>
      <c r="AP6" s="66">
        <v>36861.144486821853</v>
      </c>
      <c r="AQ6" s="66">
        <v>36744.403801853987</v>
      </c>
      <c r="AR6" s="66">
        <v>36699.018070193117</v>
      </c>
      <c r="AS6" s="66">
        <v>36612.02010983073</v>
      </c>
      <c r="AT6" s="66">
        <v>36544.738711849917</v>
      </c>
      <c r="AU6" s="66">
        <v>36467.99551104405</v>
      </c>
      <c r="AV6" s="66">
        <v>36380.018146589216</v>
      </c>
      <c r="AW6" s="66">
        <v>36307.667761537763</v>
      </c>
      <c r="AX6" s="66">
        <v>36221.792351882708</v>
      </c>
      <c r="AY6" s="66">
        <v>36154.612867287098</v>
      </c>
      <c r="AZ6" s="66">
        <v>36050.942731988107</v>
      </c>
      <c r="BA6" s="66">
        <v>35969.488960195253</v>
      </c>
      <c r="BB6" s="66">
        <v>35881.634561102153</v>
      </c>
      <c r="BC6" s="66">
        <v>35776.089907373418</v>
      </c>
      <c r="BD6" s="66">
        <v>35693.601636542247</v>
      </c>
      <c r="BE6" s="66">
        <v>35600.332009048521</v>
      </c>
      <c r="BF6" s="66">
        <v>35501.566683653953</v>
      </c>
      <c r="BG6" s="66">
        <v>35394.716530390782</v>
      </c>
      <c r="BH6" s="66">
        <v>35305.130019120566</v>
      </c>
      <c r="BI6" s="66">
        <v>35200.542296610452</v>
      </c>
      <c r="BJ6" s="66">
        <v>35098.111288412903</v>
      </c>
      <c r="BK6" s="66">
        <v>35050.245159075646</v>
      </c>
      <c r="BL6" s="66"/>
      <c r="BM6" s="66"/>
      <c r="BN6" s="66"/>
      <c r="BO6" s="66"/>
      <c r="BP6" s="66"/>
      <c r="BQ6" s="66"/>
      <c r="BR6" s="66"/>
      <c r="BS6" s="66"/>
      <c r="BT6" s="66"/>
      <c r="BU6" s="66"/>
      <c r="BV6" s="66"/>
      <c r="BW6" s="66"/>
      <c r="BX6" s="66"/>
      <c r="BY6" s="66"/>
      <c r="BZ6" s="66"/>
      <c r="CA6" s="66"/>
      <c r="CB6" s="66"/>
      <c r="CC6" s="66"/>
      <c r="CD6" s="66"/>
      <c r="CE6" s="66"/>
      <c r="CF6" s="66"/>
      <c r="CG6" s="66"/>
      <c r="CH6" s="66"/>
      <c r="CI6" s="66"/>
      <c r="CJ6" s="66"/>
    </row>
    <row r="7" spans="1:88" x14ac:dyDescent="0.25">
      <c r="B7" s="11" t="s">
        <v>177</v>
      </c>
      <c r="C7" s="66">
        <v>3961.3228069595039</v>
      </c>
      <c r="D7" s="66">
        <v>4072.5040786937202</v>
      </c>
      <c r="E7" s="66">
        <v>4175.2540376189299</v>
      </c>
      <c r="F7" s="66">
        <v>4278.7712399228212</v>
      </c>
      <c r="G7" s="66">
        <v>4161.6850501948966</v>
      </c>
      <c r="H7" s="66">
        <v>4252.7507010210247</v>
      </c>
      <c r="I7" s="66">
        <v>4339.6552071815222</v>
      </c>
      <c r="J7" s="66">
        <v>4400.303841715031</v>
      </c>
      <c r="K7" s="66">
        <v>4398.2532497463126</v>
      </c>
      <c r="L7" s="66">
        <v>4423.8712668421549</v>
      </c>
      <c r="M7" s="66">
        <v>4452.1643848084695</v>
      </c>
      <c r="N7" s="66">
        <v>4475.149622991632</v>
      </c>
      <c r="O7" s="66">
        <v>4493.3085440466039</v>
      </c>
      <c r="P7" s="66">
        <v>4405.1659153015926</v>
      </c>
      <c r="Q7" s="66">
        <v>4424.7782201043001</v>
      </c>
      <c r="R7" s="66">
        <v>4420.1453287212416</v>
      </c>
      <c r="S7" s="66">
        <v>4224.7731131169194</v>
      </c>
      <c r="T7" s="66">
        <v>4184.0694358620658</v>
      </c>
      <c r="U7" s="66">
        <v>4097.6395120161951</v>
      </c>
      <c r="V7" s="66">
        <v>3964.3762303904068</v>
      </c>
      <c r="W7" s="66">
        <v>3906.7148907973719</v>
      </c>
      <c r="X7" s="66">
        <v>3754.633638871956</v>
      </c>
      <c r="Y7" s="66">
        <v>3645.4476238363482</v>
      </c>
      <c r="Z7" s="66">
        <v>3594.1906229658271</v>
      </c>
      <c r="AA7" s="66">
        <v>3549.100760623724</v>
      </c>
      <c r="AB7" s="66">
        <v>3510.0480594541691</v>
      </c>
      <c r="AC7" s="66">
        <v>3481.6909035639642</v>
      </c>
      <c r="AD7" s="66">
        <v>3435.726585563903</v>
      </c>
      <c r="AE7" s="66">
        <v>3365.2910954537342</v>
      </c>
      <c r="AF7" s="66">
        <v>3316.9076752541569</v>
      </c>
      <c r="AG7" s="66">
        <v>3294.9320703216749</v>
      </c>
      <c r="AH7" s="66">
        <v>3261.5672554341481</v>
      </c>
      <c r="AI7" s="66">
        <v>3234.7619412004228</v>
      </c>
      <c r="AJ7" s="66">
        <v>3216.0413046366002</v>
      </c>
      <c r="AK7" s="66">
        <v>3202.69157728248</v>
      </c>
      <c r="AL7" s="66">
        <v>3192.2455105189688</v>
      </c>
      <c r="AM7" s="66">
        <v>3182.738520480963</v>
      </c>
      <c r="AN7" s="66">
        <v>3174.5928209350132</v>
      </c>
      <c r="AO7" s="66">
        <v>3167.6717800569158</v>
      </c>
      <c r="AP7" s="66">
        <v>3161.894951874418</v>
      </c>
      <c r="AQ7" s="66">
        <v>3156.9626944940678</v>
      </c>
      <c r="AR7" s="66">
        <v>3152.457983124521</v>
      </c>
      <c r="AS7" s="66">
        <v>3148.5738724375619</v>
      </c>
      <c r="AT7" s="66">
        <v>3145.3331848794301</v>
      </c>
      <c r="AU7" s="66">
        <v>3142.588271373615</v>
      </c>
      <c r="AV7" s="66">
        <v>3140.598522949535</v>
      </c>
      <c r="AW7" s="66">
        <v>3139.0529169578531</v>
      </c>
      <c r="AX7" s="66">
        <v>3138.0289065151392</v>
      </c>
      <c r="AY7" s="66">
        <v>3137.595970952741</v>
      </c>
      <c r="AZ7" s="66">
        <v>3137.561639432543</v>
      </c>
      <c r="BA7" s="66">
        <v>3138.2630134245242</v>
      </c>
      <c r="BB7" s="66">
        <v>3139.5127466740132</v>
      </c>
      <c r="BC7" s="66">
        <v>3141.2313139015691</v>
      </c>
      <c r="BD7" s="66">
        <v>3143.4577851406461</v>
      </c>
      <c r="BE7" s="66">
        <v>3146.048775983837</v>
      </c>
      <c r="BF7" s="66">
        <v>3149.262095601242</v>
      </c>
      <c r="BG7" s="66">
        <v>3152.77077761194</v>
      </c>
      <c r="BH7" s="66">
        <v>3156.2467103900949</v>
      </c>
      <c r="BI7" s="66">
        <v>3159.9526910277591</v>
      </c>
      <c r="BJ7" s="66">
        <v>3163.8797366004928</v>
      </c>
      <c r="BK7" s="66">
        <v>3168.274141686898</v>
      </c>
      <c r="BL7" s="66"/>
      <c r="BM7" s="66"/>
      <c r="BN7" s="66"/>
      <c r="BO7" s="66"/>
      <c r="BP7" s="66"/>
      <c r="BQ7" s="66"/>
      <c r="BR7" s="66"/>
      <c r="BS7" s="66"/>
      <c r="BT7" s="66"/>
      <c r="BU7" s="66"/>
      <c r="BV7" s="66"/>
      <c r="BW7" s="66"/>
      <c r="BX7" s="66"/>
      <c r="BY7" s="66"/>
      <c r="BZ7" s="66"/>
      <c r="CA7" s="66"/>
      <c r="CB7" s="66"/>
      <c r="CC7" s="66"/>
      <c r="CD7" s="66"/>
      <c r="CE7" s="66"/>
      <c r="CF7" s="66"/>
      <c r="CG7" s="66"/>
      <c r="CH7" s="66"/>
      <c r="CI7" s="66"/>
      <c r="CJ7" s="66"/>
    </row>
    <row r="8" spans="1:88" x14ac:dyDescent="0.25">
      <c r="B8" s="11" t="s">
        <v>176</v>
      </c>
      <c r="C8" s="66">
        <v>665.60775219532991</v>
      </c>
      <c r="D8" s="66">
        <v>676.96490913684556</v>
      </c>
      <c r="E8" s="66">
        <v>766.44383314418587</v>
      </c>
      <c r="F8" s="66">
        <v>815.65117372812551</v>
      </c>
      <c r="G8" s="66">
        <v>834.97323531826112</v>
      </c>
      <c r="H8" s="66">
        <v>552.58791030476755</v>
      </c>
      <c r="I8" s="66">
        <v>-184.88321335853809</v>
      </c>
      <c r="J8" s="66">
        <v>-1390.3944471489931</v>
      </c>
      <c r="K8" s="66">
        <v>-3377.9560506208309</v>
      </c>
      <c r="L8" s="66">
        <v>-6009.0610497527787</v>
      </c>
      <c r="M8" s="66">
        <v>-6106.9622169089553</v>
      </c>
      <c r="N8" s="66">
        <v>-8551.4312043525169</v>
      </c>
      <c r="O8" s="66">
        <v>-10633.94865603817</v>
      </c>
      <c r="P8" s="66">
        <v>-10084.70435127073</v>
      </c>
      <c r="Q8" s="66">
        <v>-7218.0099532420736</v>
      </c>
      <c r="R8" s="66">
        <v>-1950.784276649656</v>
      </c>
      <c r="S8" s="66">
        <v>685.43184862696637</v>
      </c>
      <c r="T8" s="66">
        <v>5943.1294763206406</v>
      </c>
      <c r="U8" s="66">
        <v>-13775.893910354789</v>
      </c>
      <c r="V8" s="66">
        <v>-11503.389537710091</v>
      </c>
      <c r="W8" s="66">
        <v>-12436.8036332096</v>
      </c>
      <c r="X8" s="66">
        <v>-13473.69962601804</v>
      </c>
      <c r="Y8" s="66">
        <v>-11701.17873528489</v>
      </c>
      <c r="Z8" s="66">
        <v>-8907.8645594351565</v>
      </c>
      <c r="AA8" s="66">
        <v>-12194.712173791409</v>
      </c>
      <c r="AB8" s="66">
        <v>-13202.520611804081</v>
      </c>
      <c r="AC8" s="66">
        <v>-14095.9646202599</v>
      </c>
      <c r="AD8" s="66">
        <v>-12383.44458105273</v>
      </c>
      <c r="AE8" s="66">
        <v>-10490.05519428377</v>
      </c>
      <c r="AF8" s="66">
        <v>-7390.2130984936066</v>
      </c>
      <c r="AG8" s="66">
        <v>-8567.5852885660443</v>
      </c>
      <c r="AH8" s="66">
        <v>-7347.1453135279316</v>
      </c>
      <c r="AI8" s="66">
        <v>-6876.1794858355424</v>
      </c>
      <c r="AJ8" s="66">
        <v>-6287.5029672735418</v>
      </c>
      <c r="AK8" s="66">
        <v>-6089.6857717078901</v>
      </c>
      <c r="AL8" s="66">
        <v>-6547.5135200577088</v>
      </c>
      <c r="AM8" s="66">
        <v>-7375.2760580651047</v>
      </c>
      <c r="AN8" s="66">
        <v>-8188.3127346602914</v>
      </c>
      <c r="AO8" s="66">
        <v>-9026.7194945333031</v>
      </c>
      <c r="AP8" s="66">
        <v>-9717.704215205642</v>
      </c>
      <c r="AQ8" s="66">
        <v>-10293.532550064599</v>
      </c>
      <c r="AR8" s="66">
        <v>-10887.247498962441</v>
      </c>
      <c r="AS8" s="66">
        <v>-11475.56822550453</v>
      </c>
      <c r="AT8" s="66">
        <v>-11997.370282720491</v>
      </c>
      <c r="AU8" s="66">
        <v>-12440.017088788411</v>
      </c>
      <c r="AV8" s="66">
        <v>-13067.82069537686</v>
      </c>
      <c r="AW8" s="66">
        <v>-13980.484997370741</v>
      </c>
      <c r="AX8" s="66">
        <v>-15542.14437097888</v>
      </c>
      <c r="AY8" s="66">
        <v>-16530.118075875009</v>
      </c>
      <c r="AZ8" s="66">
        <v>-17557.508379921899</v>
      </c>
      <c r="BA8" s="66">
        <v>-18595.474265300909</v>
      </c>
      <c r="BB8" s="66">
        <v>-19435.007064898691</v>
      </c>
      <c r="BC8" s="66">
        <v>-19856.45522119795</v>
      </c>
      <c r="BD8" s="66">
        <v>-20173.95511583997</v>
      </c>
      <c r="BE8" s="66">
        <v>-20473.126751235319</v>
      </c>
      <c r="BF8" s="66">
        <v>-20832.76222451817</v>
      </c>
      <c r="BG8" s="66">
        <v>-21310.507603405269</v>
      </c>
      <c r="BH8" s="66">
        <v>-21823.409268637519</v>
      </c>
      <c r="BI8" s="66">
        <v>-22350.084648204429</v>
      </c>
      <c r="BJ8" s="66">
        <v>-22877.869960976659</v>
      </c>
      <c r="BK8" s="66">
        <v>-23410.864797279079</v>
      </c>
      <c r="BL8" s="66"/>
      <c r="BM8" s="66"/>
      <c r="BN8" s="66"/>
      <c r="BO8" s="66"/>
      <c r="BP8" s="66"/>
      <c r="BQ8" s="66"/>
      <c r="BR8" s="66"/>
      <c r="BS8" s="66"/>
      <c r="BT8" s="66"/>
      <c r="BU8" s="66"/>
      <c r="BV8" s="66"/>
      <c r="BW8" s="66"/>
      <c r="BX8" s="66"/>
      <c r="BY8" s="66"/>
      <c r="BZ8" s="66"/>
      <c r="CA8" s="66"/>
      <c r="CB8" s="66"/>
      <c r="CC8" s="66"/>
      <c r="CD8" s="66"/>
      <c r="CE8" s="66"/>
      <c r="CF8" s="66"/>
      <c r="CG8" s="66"/>
      <c r="CH8" s="66"/>
      <c r="CI8" s="66"/>
      <c r="CJ8" s="66"/>
    </row>
    <row r="9" spans="1:88" x14ac:dyDescent="0.25">
      <c r="B9" s="11" t="s">
        <v>175</v>
      </c>
      <c r="C9" s="66">
        <v>65791.661935664772</v>
      </c>
      <c r="D9" s="66">
        <v>66679.017707485458</v>
      </c>
      <c r="E9" s="66">
        <v>67916.681765338246</v>
      </c>
      <c r="F9" s="66">
        <v>67725.880326011276</v>
      </c>
      <c r="G9" s="66">
        <v>68967.172515940387</v>
      </c>
      <c r="H9" s="66">
        <v>69462.567149596216</v>
      </c>
      <c r="I9" s="66">
        <v>70785.413419322183</v>
      </c>
      <c r="J9" s="66">
        <v>72275.519025235131</v>
      </c>
      <c r="K9" s="66">
        <v>68188.01425824991</v>
      </c>
      <c r="L9" s="66">
        <v>67353.91611313571</v>
      </c>
      <c r="M9" s="66">
        <v>69287.17076897416</v>
      </c>
      <c r="N9" s="66">
        <v>69831.329542443898</v>
      </c>
      <c r="O9" s="66">
        <v>67925.945708190324</v>
      </c>
      <c r="P9" s="66">
        <v>70645.338256973148</v>
      </c>
      <c r="Q9" s="66">
        <v>73326.729432960245</v>
      </c>
      <c r="R9" s="66">
        <v>80530.893475488308</v>
      </c>
      <c r="S9" s="66">
        <v>83199.364600457397</v>
      </c>
      <c r="T9" s="66">
        <v>86461.206060117765</v>
      </c>
      <c r="U9" s="66">
        <v>66825.048547827508</v>
      </c>
      <c r="V9" s="66">
        <v>66374.045786678544</v>
      </c>
      <c r="W9" s="66">
        <v>65875.077227399161</v>
      </c>
      <c r="X9" s="66">
        <v>64670.988102069088</v>
      </c>
      <c r="Y9" s="66">
        <v>68740.825271216701</v>
      </c>
      <c r="Z9" s="66">
        <v>70916.380914506866</v>
      </c>
      <c r="AA9" s="66">
        <v>68475.759225307163</v>
      </c>
      <c r="AB9" s="66">
        <v>67518.48536156716</v>
      </c>
      <c r="AC9" s="66">
        <v>64578.943526878247</v>
      </c>
      <c r="AD9" s="66">
        <v>67895.015692125307</v>
      </c>
      <c r="AE9" s="66">
        <v>70084.610481216514</v>
      </c>
      <c r="AF9" s="66">
        <v>74923.35863537126</v>
      </c>
      <c r="AG9" s="66">
        <v>71536.086023121126</v>
      </c>
      <c r="AH9" s="66">
        <v>72069.381684343025</v>
      </c>
      <c r="AI9" s="66">
        <v>72782.749799677506</v>
      </c>
      <c r="AJ9" s="66">
        <v>72517.802211976683</v>
      </c>
      <c r="AK9" s="66">
        <v>72016.899119239664</v>
      </c>
      <c r="AL9" s="66">
        <v>68830.750969339439</v>
      </c>
      <c r="AM9" s="66">
        <v>68119.790398987156</v>
      </c>
      <c r="AN9" s="66">
        <v>67322.033321288909</v>
      </c>
      <c r="AO9" s="66">
        <v>66468.174847685004</v>
      </c>
      <c r="AP9" s="66">
        <v>65744.30736055343</v>
      </c>
      <c r="AQ9" s="66">
        <v>64481.443661286277</v>
      </c>
      <c r="AR9" s="66">
        <v>63824.580623750968</v>
      </c>
      <c r="AS9" s="66">
        <v>62951.135033731072</v>
      </c>
      <c r="AT9" s="66">
        <v>62123.238809040697</v>
      </c>
      <c r="AU9" s="66">
        <v>61313.619243674679</v>
      </c>
      <c r="AV9" s="66">
        <v>60293.426630425092</v>
      </c>
      <c r="AW9" s="66">
        <v>58936.586295876157</v>
      </c>
      <c r="AX9" s="66">
        <v>56881.998385487343</v>
      </c>
      <c r="AY9" s="66">
        <v>55364.284506854558</v>
      </c>
      <c r="AZ9" s="66">
        <v>53761.035836884272</v>
      </c>
      <c r="BA9" s="66">
        <v>51561.129998224133</v>
      </c>
      <c r="BB9" s="66">
        <v>50073.162402492308</v>
      </c>
      <c r="BC9" s="66">
        <v>48879.004362633379</v>
      </c>
      <c r="BD9" s="66">
        <v>48004.863126496843</v>
      </c>
      <c r="BE9" s="66">
        <v>47146.813060343171</v>
      </c>
      <c r="BF9" s="66">
        <v>46116.112641469022</v>
      </c>
      <c r="BG9" s="66">
        <v>44875.648131597998</v>
      </c>
      <c r="BH9" s="66">
        <v>43648.894849496974</v>
      </c>
      <c r="BI9" s="66">
        <v>42427.383000021669</v>
      </c>
      <c r="BJ9" s="66">
        <v>41170.8691962335</v>
      </c>
      <c r="BK9" s="66">
        <v>39643.07147722684</v>
      </c>
      <c r="BL9" s="66"/>
      <c r="BM9" s="66"/>
      <c r="BN9" s="66"/>
      <c r="BO9" s="66"/>
      <c r="BP9" s="66"/>
      <c r="BQ9" s="66"/>
      <c r="BR9" s="66"/>
      <c r="BS9" s="66"/>
      <c r="BT9" s="66"/>
      <c r="BU9" s="66"/>
      <c r="BV9" s="66"/>
      <c r="BW9" s="66"/>
      <c r="BX9" s="66"/>
      <c r="BY9" s="66"/>
      <c r="BZ9" s="66"/>
      <c r="CA9" s="66"/>
      <c r="CB9" s="66"/>
      <c r="CC9" s="66"/>
      <c r="CD9" s="66"/>
      <c r="CE9" s="66"/>
      <c r="CF9" s="66"/>
      <c r="CG9" s="66"/>
      <c r="CH9" s="66"/>
      <c r="CI9" s="66"/>
      <c r="CJ9" s="66"/>
    </row>
    <row r="10" spans="1:88" x14ac:dyDescent="0.25">
      <c r="B10" s="11" t="s">
        <v>174</v>
      </c>
      <c r="C10" s="66">
        <v>65126.054183469438</v>
      </c>
      <c r="D10" s="66">
        <v>66002.05279834861</v>
      </c>
      <c r="E10" s="66">
        <v>67150.237932194053</v>
      </c>
      <c r="F10" s="66">
        <v>66910.229152283151</v>
      </c>
      <c r="G10" s="66">
        <v>68132.199280622124</v>
      </c>
      <c r="H10" s="66">
        <v>68909.979239291453</v>
      </c>
      <c r="I10" s="66">
        <v>70970.296632680722</v>
      </c>
      <c r="J10" s="66">
        <v>73665.913472384127</v>
      </c>
      <c r="K10" s="66">
        <v>71565.970308870747</v>
      </c>
      <c r="L10" s="66">
        <v>73362.977162888492</v>
      </c>
      <c r="M10" s="66">
        <v>75394.132985883116</v>
      </c>
      <c r="N10" s="66">
        <v>78382.760746796412</v>
      </c>
      <c r="O10" s="66">
        <v>78559.894364228501</v>
      </c>
      <c r="P10" s="66">
        <v>80730.042608243879</v>
      </c>
      <c r="Q10" s="66">
        <v>80544.739386202316</v>
      </c>
      <c r="R10" s="66">
        <v>82481.67775213797</v>
      </c>
      <c r="S10" s="66">
        <v>82513.932751830434</v>
      </c>
      <c r="T10" s="66">
        <v>80518.076583797127</v>
      </c>
      <c r="U10" s="66">
        <v>80600.942458182297</v>
      </c>
      <c r="V10" s="66">
        <v>77877.435324388629</v>
      </c>
      <c r="W10" s="66">
        <v>78311.88086060877</v>
      </c>
      <c r="X10" s="66">
        <v>78144.687728087127</v>
      </c>
      <c r="Y10" s="66">
        <v>80442.004006501593</v>
      </c>
      <c r="Z10" s="66">
        <v>79824.245473942021</v>
      </c>
      <c r="AA10" s="66">
        <v>80670.471399098577</v>
      </c>
      <c r="AB10" s="66">
        <v>80721.005973371241</v>
      </c>
      <c r="AC10" s="66">
        <v>78674.908147138151</v>
      </c>
      <c r="AD10" s="66">
        <v>80278.460273178047</v>
      </c>
      <c r="AE10" s="66">
        <v>80574.665675500291</v>
      </c>
      <c r="AF10" s="66">
        <v>82313.571733864868</v>
      </c>
      <c r="AG10" s="66">
        <v>80103.671311687169</v>
      </c>
      <c r="AH10" s="66">
        <v>79416.526997870955</v>
      </c>
      <c r="AI10" s="66">
        <v>79658.929285513048</v>
      </c>
      <c r="AJ10" s="66">
        <v>78805.305179250223</v>
      </c>
      <c r="AK10" s="66">
        <v>78106.584890947561</v>
      </c>
      <c r="AL10" s="66">
        <v>75378.264489397145</v>
      </c>
      <c r="AM10" s="66">
        <v>75495.066457052264</v>
      </c>
      <c r="AN10" s="66">
        <v>75510.346055949194</v>
      </c>
      <c r="AO10" s="66">
        <v>75494.894342218307</v>
      </c>
      <c r="AP10" s="66">
        <v>75462.011575759068</v>
      </c>
      <c r="AQ10" s="66">
        <v>74774.976211350877</v>
      </c>
      <c r="AR10" s="66">
        <v>74711.828122713414</v>
      </c>
      <c r="AS10" s="66">
        <v>74426.703259235597</v>
      </c>
      <c r="AT10" s="66">
        <v>74120.609091761202</v>
      </c>
      <c r="AU10" s="66">
        <v>73753.636332463095</v>
      </c>
      <c r="AV10" s="66">
        <v>73361.247325801945</v>
      </c>
      <c r="AW10" s="66">
        <v>72917.071293246903</v>
      </c>
      <c r="AX10" s="66">
        <v>72424.142756466215</v>
      </c>
      <c r="AY10" s="66">
        <v>71894.40258272957</v>
      </c>
      <c r="AZ10" s="66">
        <v>71318.544216806171</v>
      </c>
      <c r="BA10" s="66">
        <v>70156.604263525049</v>
      </c>
      <c r="BB10" s="66">
        <v>69508.169467390995</v>
      </c>
      <c r="BC10" s="66">
        <v>68735.459583831325</v>
      </c>
      <c r="BD10" s="66">
        <v>68178.818242336813</v>
      </c>
      <c r="BE10" s="66">
        <v>67619.939811578486</v>
      </c>
      <c r="BF10" s="66">
        <v>66948.874865987193</v>
      </c>
      <c r="BG10" s="66">
        <v>66186.155735003267</v>
      </c>
      <c r="BH10" s="66">
        <v>65472.304118134489</v>
      </c>
      <c r="BI10" s="66">
        <v>64777.467648226098</v>
      </c>
      <c r="BJ10" s="66">
        <v>64048.739157210162</v>
      </c>
      <c r="BK10" s="66">
        <v>63053.936274505933</v>
      </c>
      <c r="BL10" s="66"/>
      <c r="BM10" s="66"/>
      <c r="BN10" s="66"/>
      <c r="BO10" s="66"/>
      <c r="BP10" s="66"/>
      <c r="BQ10" s="66"/>
      <c r="BR10" s="66"/>
      <c r="BS10" s="66"/>
      <c r="BT10" s="66"/>
      <c r="BU10" s="66"/>
      <c r="BV10" s="66"/>
      <c r="BW10" s="66"/>
      <c r="BX10" s="66"/>
      <c r="BY10" s="66"/>
      <c r="BZ10" s="66"/>
      <c r="CA10" s="66"/>
      <c r="CB10" s="66"/>
      <c r="CC10" s="66"/>
      <c r="CD10" s="66"/>
      <c r="CE10" s="66"/>
      <c r="CF10" s="66"/>
      <c r="CG10" s="66"/>
      <c r="CH10" s="66"/>
      <c r="CI10" s="66"/>
      <c r="CJ10" s="66"/>
    </row>
    <row r="12" spans="1:88" x14ac:dyDescent="0.25">
      <c r="A12" s="11" t="s">
        <v>183</v>
      </c>
      <c r="B12" s="11" t="s">
        <v>181</v>
      </c>
      <c r="C12" s="66">
        <v>0</v>
      </c>
      <c r="D12" s="66">
        <v>0</v>
      </c>
      <c r="E12" s="66">
        <v>0</v>
      </c>
      <c r="F12" s="66">
        <v>0</v>
      </c>
      <c r="G12" s="66">
        <v>0</v>
      </c>
      <c r="H12" s="66">
        <v>0</v>
      </c>
      <c r="I12" s="66">
        <v>0</v>
      </c>
      <c r="J12" s="66">
        <v>0</v>
      </c>
      <c r="K12" s="66">
        <v>0</v>
      </c>
      <c r="L12" s="66">
        <v>0</v>
      </c>
      <c r="M12" s="66">
        <v>0</v>
      </c>
      <c r="N12" s="66">
        <v>0</v>
      </c>
      <c r="O12" s="66">
        <v>0</v>
      </c>
      <c r="P12" s="66">
        <v>0</v>
      </c>
      <c r="Q12" s="66">
        <v>0</v>
      </c>
      <c r="R12" s="66">
        <v>0</v>
      </c>
      <c r="S12" s="66">
        <v>0</v>
      </c>
      <c r="T12" s="66">
        <v>0</v>
      </c>
      <c r="U12" s="66">
        <v>0</v>
      </c>
      <c r="V12" s="66">
        <v>0</v>
      </c>
      <c r="W12" s="66">
        <v>0</v>
      </c>
      <c r="X12" s="66">
        <v>0</v>
      </c>
      <c r="Y12" s="66">
        <v>0</v>
      </c>
      <c r="Z12" s="66">
        <v>0</v>
      </c>
      <c r="AA12" s="66">
        <v>0</v>
      </c>
      <c r="AB12" s="66">
        <v>0</v>
      </c>
      <c r="AC12" s="66">
        <v>0</v>
      </c>
      <c r="AD12" s="66">
        <v>0</v>
      </c>
      <c r="AE12" s="66">
        <v>0</v>
      </c>
      <c r="AF12" s="66">
        <v>0</v>
      </c>
      <c r="AG12" s="66">
        <v>0</v>
      </c>
      <c r="AH12" s="66">
        <v>0</v>
      </c>
      <c r="AI12" s="66">
        <v>0</v>
      </c>
      <c r="AJ12" s="66">
        <v>0</v>
      </c>
      <c r="AK12" s="66">
        <v>0</v>
      </c>
      <c r="AL12" s="66">
        <v>0</v>
      </c>
      <c r="AM12" s="66">
        <v>0</v>
      </c>
      <c r="AN12" s="66">
        <v>0</v>
      </c>
      <c r="AO12" s="66">
        <v>0</v>
      </c>
      <c r="AP12" s="66">
        <v>0</v>
      </c>
      <c r="AQ12" s="66">
        <v>0</v>
      </c>
      <c r="AR12" s="66">
        <v>0</v>
      </c>
      <c r="AS12" s="66">
        <v>0</v>
      </c>
      <c r="AT12" s="66">
        <v>0</v>
      </c>
      <c r="AU12" s="66">
        <v>0</v>
      </c>
      <c r="AV12" s="66">
        <v>0</v>
      </c>
      <c r="AW12" s="66">
        <v>0</v>
      </c>
      <c r="AX12" s="66">
        <v>0</v>
      </c>
      <c r="AY12" s="66">
        <v>0</v>
      </c>
      <c r="AZ12" s="66">
        <v>0</v>
      </c>
      <c r="BA12" s="66">
        <v>0</v>
      </c>
      <c r="BB12" s="66">
        <v>0</v>
      </c>
      <c r="BC12" s="66">
        <v>0</v>
      </c>
      <c r="BD12" s="66">
        <v>0</v>
      </c>
      <c r="BE12" s="66">
        <v>0</v>
      </c>
      <c r="BF12" s="66">
        <v>0</v>
      </c>
      <c r="BG12" s="66">
        <v>0</v>
      </c>
      <c r="BH12" s="66">
        <v>0</v>
      </c>
      <c r="BI12" s="66">
        <v>0</v>
      </c>
      <c r="BJ12" s="66">
        <v>0</v>
      </c>
      <c r="BK12" s="66">
        <v>0</v>
      </c>
      <c r="BL12" s="66"/>
      <c r="BM12" s="66"/>
      <c r="BN12" s="66"/>
      <c r="BO12" s="66"/>
      <c r="BP12" s="66"/>
      <c r="BQ12" s="66"/>
      <c r="BR12" s="66"/>
      <c r="BS12" s="66"/>
      <c r="BT12" s="66"/>
      <c r="BU12" s="66"/>
      <c r="BV12" s="66"/>
      <c r="BW12" s="66"/>
      <c r="BX12" s="66"/>
      <c r="BY12" s="66"/>
      <c r="BZ12" s="66"/>
      <c r="CA12" s="66"/>
      <c r="CB12" s="66"/>
      <c r="CC12" s="66"/>
      <c r="CD12" s="66"/>
      <c r="CE12" s="66"/>
      <c r="CF12" s="66"/>
      <c r="CG12" s="66"/>
      <c r="CH12" s="66"/>
      <c r="CI12" s="66"/>
      <c r="CJ12" s="66"/>
    </row>
    <row r="13" spans="1:88" x14ac:dyDescent="0.25">
      <c r="B13" s="11" t="s">
        <v>180</v>
      </c>
      <c r="C13" s="66">
        <v>0</v>
      </c>
      <c r="D13" s="66">
        <v>0</v>
      </c>
      <c r="E13" s="66">
        <v>0</v>
      </c>
      <c r="F13" s="66">
        <v>0</v>
      </c>
      <c r="G13" s="66">
        <v>0</v>
      </c>
      <c r="H13" s="66">
        <v>0</v>
      </c>
      <c r="I13" s="66">
        <v>0</v>
      </c>
      <c r="J13" s="66">
        <v>0</v>
      </c>
      <c r="K13" s="66">
        <v>0</v>
      </c>
      <c r="L13" s="66">
        <v>0</v>
      </c>
      <c r="M13" s="66">
        <v>0</v>
      </c>
      <c r="N13" s="66">
        <v>0</v>
      </c>
      <c r="O13" s="66">
        <v>0</v>
      </c>
      <c r="P13" s="66">
        <v>0</v>
      </c>
      <c r="Q13" s="66">
        <v>0</v>
      </c>
      <c r="R13" s="66">
        <v>0</v>
      </c>
      <c r="S13" s="66">
        <v>0</v>
      </c>
      <c r="T13" s="66">
        <v>0</v>
      </c>
      <c r="U13" s="66">
        <v>0</v>
      </c>
      <c r="V13" s="66">
        <v>0</v>
      </c>
      <c r="W13" s="66">
        <v>0</v>
      </c>
      <c r="X13" s="66">
        <v>0</v>
      </c>
      <c r="Y13" s="66">
        <v>0</v>
      </c>
      <c r="Z13" s="66">
        <v>0</v>
      </c>
      <c r="AA13" s="66">
        <v>0</v>
      </c>
      <c r="AB13" s="66">
        <v>0</v>
      </c>
      <c r="AC13" s="66">
        <v>0</v>
      </c>
      <c r="AD13" s="66">
        <v>0</v>
      </c>
      <c r="AE13" s="66">
        <v>0</v>
      </c>
      <c r="AF13" s="66">
        <v>0</v>
      </c>
      <c r="AG13" s="66">
        <v>0</v>
      </c>
      <c r="AH13" s="66">
        <v>0</v>
      </c>
      <c r="AI13" s="66">
        <v>0</v>
      </c>
      <c r="AJ13" s="66">
        <v>0</v>
      </c>
      <c r="AK13" s="66">
        <v>0</v>
      </c>
      <c r="AL13" s="66">
        <v>0</v>
      </c>
      <c r="AM13" s="66">
        <v>0</v>
      </c>
      <c r="AN13" s="66">
        <v>0</v>
      </c>
      <c r="AO13" s="66">
        <v>0</v>
      </c>
      <c r="AP13" s="66">
        <v>0</v>
      </c>
      <c r="AQ13" s="66">
        <v>0</v>
      </c>
      <c r="AR13" s="66">
        <v>0</v>
      </c>
      <c r="AS13" s="66">
        <v>0</v>
      </c>
      <c r="AT13" s="66">
        <v>0</v>
      </c>
      <c r="AU13" s="66">
        <v>0</v>
      </c>
      <c r="AV13" s="66">
        <v>0</v>
      </c>
      <c r="AW13" s="66">
        <v>0</v>
      </c>
      <c r="AX13" s="66">
        <v>0</v>
      </c>
      <c r="AY13" s="66">
        <v>0</v>
      </c>
      <c r="AZ13" s="66">
        <v>0</v>
      </c>
      <c r="BA13" s="66">
        <v>0</v>
      </c>
      <c r="BB13" s="66">
        <v>0</v>
      </c>
      <c r="BC13" s="66">
        <v>0</v>
      </c>
      <c r="BD13" s="66">
        <v>0</v>
      </c>
      <c r="BE13" s="66">
        <v>0</v>
      </c>
      <c r="BF13" s="66">
        <v>0</v>
      </c>
      <c r="BG13" s="66">
        <v>0</v>
      </c>
      <c r="BH13" s="66">
        <v>0</v>
      </c>
      <c r="BI13" s="66">
        <v>0</v>
      </c>
      <c r="BJ13" s="66">
        <v>0</v>
      </c>
      <c r="BK13" s="66">
        <v>0</v>
      </c>
      <c r="BL13" s="66"/>
      <c r="BM13" s="66"/>
      <c r="BN13" s="66"/>
      <c r="BO13" s="66"/>
      <c r="BP13" s="66"/>
      <c r="BQ13" s="66"/>
      <c r="BR13" s="66"/>
      <c r="BS13" s="66"/>
      <c r="BT13" s="66"/>
      <c r="BU13" s="66"/>
      <c r="BV13" s="66"/>
      <c r="BW13" s="66"/>
      <c r="BX13" s="66"/>
      <c r="BY13" s="66"/>
      <c r="BZ13" s="66"/>
      <c r="CA13" s="66"/>
      <c r="CB13" s="66"/>
      <c r="CC13" s="66"/>
      <c r="CD13" s="66"/>
      <c r="CE13" s="66"/>
      <c r="CF13" s="66"/>
      <c r="CG13" s="66"/>
      <c r="CH13" s="66"/>
      <c r="CI13" s="66"/>
      <c r="CJ13" s="66"/>
    </row>
    <row r="14" spans="1:88" x14ac:dyDescent="0.25">
      <c r="B14" s="11" t="s">
        <v>179</v>
      </c>
      <c r="C14" s="66">
        <v>0</v>
      </c>
      <c r="D14" s="66">
        <v>0</v>
      </c>
      <c r="E14" s="66">
        <v>0</v>
      </c>
      <c r="F14" s="66">
        <v>0</v>
      </c>
      <c r="G14" s="66">
        <v>0</v>
      </c>
      <c r="H14" s="66">
        <v>0</v>
      </c>
      <c r="I14" s="66">
        <v>0</v>
      </c>
      <c r="J14" s="66">
        <v>0</v>
      </c>
      <c r="K14" s="66">
        <v>0</v>
      </c>
      <c r="L14" s="66">
        <v>0</v>
      </c>
      <c r="M14" s="66">
        <v>0</v>
      </c>
      <c r="N14" s="66">
        <v>0</v>
      </c>
      <c r="O14" s="66">
        <v>0</v>
      </c>
      <c r="P14" s="66">
        <v>0</v>
      </c>
      <c r="Q14" s="66">
        <v>0</v>
      </c>
      <c r="R14" s="66">
        <v>0</v>
      </c>
      <c r="S14" s="66">
        <v>0</v>
      </c>
      <c r="T14" s="66">
        <v>0</v>
      </c>
      <c r="U14" s="66">
        <v>0</v>
      </c>
      <c r="V14" s="66">
        <v>0</v>
      </c>
      <c r="W14" s="66">
        <v>0</v>
      </c>
      <c r="X14" s="66">
        <v>0</v>
      </c>
      <c r="Y14" s="66">
        <v>0</v>
      </c>
      <c r="Z14" s="66">
        <v>0</v>
      </c>
      <c r="AA14" s="66">
        <v>0</v>
      </c>
      <c r="AB14" s="66">
        <v>0</v>
      </c>
      <c r="AC14" s="66">
        <v>0</v>
      </c>
      <c r="AD14" s="66">
        <v>0</v>
      </c>
      <c r="AE14" s="66">
        <v>0</v>
      </c>
      <c r="AF14" s="66">
        <v>0</v>
      </c>
      <c r="AG14" s="66">
        <v>0</v>
      </c>
      <c r="AH14" s="66">
        <v>0</v>
      </c>
      <c r="AI14" s="66">
        <v>0</v>
      </c>
      <c r="AJ14" s="66">
        <v>0</v>
      </c>
      <c r="AK14" s="66">
        <v>0</v>
      </c>
      <c r="AL14" s="66">
        <v>0</v>
      </c>
      <c r="AM14" s="66">
        <v>0</v>
      </c>
      <c r="AN14" s="66">
        <v>0</v>
      </c>
      <c r="AO14" s="66">
        <v>0</v>
      </c>
      <c r="AP14" s="66">
        <v>0</v>
      </c>
      <c r="AQ14" s="66">
        <v>0</v>
      </c>
      <c r="AR14" s="66">
        <v>0</v>
      </c>
      <c r="AS14" s="66">
        <v>0</v>
      </c>
      <c r="AT14" s="66">
        <v>0</v>
      </c>
      <c r="AU14" s="66">
        <v>0</v>
      </c>
      <c r="AV14" s="66">
        <v>0</v>
      </c>
      <c r="AW14" s="66">
        <v>0</v>
      </c>
      <c r="AX14" s="66">
        <v>0</v>
      </c>
      <c r="AY14" s="66">
        <v>0</v>
      </c>
      <c r="AZ14" s="66">
        <v>0</v>
      </c>
      <c r="BA14" s="66">
        <v>0</v>
      </c>
      <c r="BB14" s="66">
        <v>0</v>
      </c>
      <c r="BC14" s="66">
        <v>0</v>
      </c>
      <c r="BD14" s="66">
        <v>0</v>
      </c>
      <c r="BE14" s="66">
        <v>0</v>
      </c>
      <c r="BF14" s="66">
        <v>0</v>
      </c>
      <c r="BG14" s="66">
        <v>0</v>
      </c>
      <c r="BH14" s="66">
        <v>0</v>
      </c>
      <c r="BI14" s="66">
        <v>0</v>
      </c>
      <c r="BJ14" s="66">
        <v>0</v>
      </c>
      <c r="BK14" s="66">
        <v>0</v>
      </c>
      <c r="BL14" s="66"/>
      <c r="BM14" s="66"/>
      <c r="BN14" s="66"/>
      <c r="BO14" s="66"/>
      <c r="BP14" s="66"/>
      <c r="BQ14" s="66"/>
      <c r="BR14" s="66"/>
      <c r="BS14" s="66"/>
      <c r="BT14" s="66"/>
      <c r="BU14" s="66"/>
      <c r="BV14" s="66"/>
      <c r="BW14" s="66"/>
      <c r="BX14" s="66"/>
      <c r="BY14" s="66"/>
      <c r="BZ14" s="66"/>
      <c r="CA14" s="66"/>
      <c r="CB14" s="66"/>
      <c r="CC14" s="66"/>
      <c r="CD14" s="66"/>
      <c r="CE14" s="66"/>
      <c r="CF14" s="66"/>
      <c r="CG14" s="66"/>
      <c r="CH14" s="66"/>
      <c r="CI14" s="66"/>
      <c r="CJ14" s="66"/>
    </row>
    <row r="15" spans="1:88" x14ac:dyDescent="0.25">
      <c r="B15" s="11" t="s">
        <v>178</v>
      </c>
      <c r="C15" s="66">
        <v>28095.524517388571</v>
      </c>
      <c r="D15" s="66">
        <v>28218.74337592916</v>
      </c>
      <c r="E15" s="66">
        <v>27729.756779516429</v>
      </c>
      <c r="F15" s="66">
        <v>27848.32886108182</v>
      </c>
      <c r="G15" s="66">
        <v>28750.209601397499</v>
      </c>
      <c r="H15" s="66">
        <v>29038.514088500258</v>
      </c>
      <c r="I15" s="66">
        <v>29300.999082190039</v>
      </c>
      <c r="J15" s="66">
        <v>30050.26706830359</v>
      </c>
      <c r="K15" s="66">
        <v>29434.2557959152</v>
      </c>
      <c r="L15" s="66">
        <v>29500.989686337591</v>
      </c>
      <c r="M15" s="66">
        <v>30311.919582544811</v>
      </c>
      <c r="N15" s="66">
        <v>30665.234893553548</v>
      </c>
      <c r="O15" s="66">
        <v>30442.82781921927</v>
      </c>
      <c r="P15" s="66">
        <v>30851.388406456219</v>
      </c>
      <c r="Q15" s="66">
        <v>30866.90833276917</v>
      </c>
      <c r="R15" s="66">
        <v>31092.572849174969</v>
      </c>
      <c r="S15" s="66">
        <v>31277.850567110589</v>
      </c>
      <c r="T15" s="66">
        <v>30471.380908396219</v>
      </c>
      <c r="U15" s="66">
        <v>29351.418756398911</v>
      </c>
      <c r="V15" s="66">
        <v>29511.987872678179</v>
      </c>
      <c r="W15" s="66">
        <v>29541.359280921319</v>
      </c>
      <c r="X15" s="66">
        <v>29951.319847660361</v>
      </c>
      <c r="Y15" s="66">
        <v>30649.47620408659</v>
      </c>
      <c r="Z15" s="66">
        <v>30814.457468764271</v>
      </c>
      <c r="AA15" s="66">
        <v>31122.74845392854</v>
      </c>
      <c r="AB15" s="66">
        <v>30647.819934537711</v>
      </c>
      <c r="AC15" s="66">
        <v>30297.009650190768</v>
      </c>
      <c r="AD15" s="66">
        <v>30292.18629146658</v>
      </c>
      <c r="AE15" s="66">
        <v>30494.010731595728</v>
      </c>
      <c r="AF15" s="66">
        <v>30601.236605383401</v>
      </c>
      <c r="AG15" s="66">
        <v>29860.132492790839</v>
      </c>
      <c r="AH15" s="66">
        <v>29596.375144325058</v>
      </c>
      <c r="AI15" s="66">
        <v>29319.686782165511</v>
      </c>
      <c r="AJ15" s="66">
        <v>29084.548198615332</v>
      </c>
      <c r="AK15" s="66">
        <v>28839.837796498021</v>
      </c>
      <c r="AL15" s="66">
        <v>28713.230481760809</v>
      </c>
      <c r="AM15" s="66">
        <v>28639.143733476059</v>
      </c>
      <c r="AN15" s="66">
        <v>28546.960230576871</v>
      </c>
      <c r="AO15" s="66">
        <v>28467.208230099459</v>
      </c>
      <c r="AP15" s="66">
        <v>28390.968684419509</v>
      </c>
      <c r="AQ15" s="66">
        <v>28301.242543486929</v>
      </c>
      <c r="AR15" s="66">
        <v>28266.022468191641</v>
      </c>
      <c r="AS15" s="66">
        <v>28198.66284028448</v>
      </c>
      <c r="AT15" s="66">
        <v>28146.67821752177</v>
      </c>
      <c r="AU15" s="66">
        <v>28086.665788049078</v>
      </c>
      <c r="AV15" s="66">
        <v>28018.447295850659</v>
      </c>
      <c r="AW15" s="66">
        <v>27961.92173429477</v>
      </c>
      <c r="AX15" s="66">
        <v>27894.870474995831</v>
      </c>
      <c r="AY15" s="66">
        <v>27841.596576110162</v>
      </c>
      <c r="AZ15" s="66">
        <v>27760.145860880581</v>
      </c>
      <c r="BA15" s="66">
        <v>27694.68748699141</v>
      </c>
      <c r="BB15" s="66">
        <v>27624.691754925509</v>
      </c>
      <c r="BC15" s="66">
        <v>27541.011470781541</v>
      </c>
      <c r="BD15" s="66">
        <v>27474.329325333871</v>
      </c>
      <c r="BE15" s="66">
        <v>27400.310027567841</v>
      </c>
      <c r="BF15" s="66">
        <v>27321.566977954921</v>
      </c>
      <c r="BG15" s="66">
        <v>27236.253574335929</v>
      </c>
      <c r="BH15" s="66">
        <v>27164.372785086849</v>
      </c>
      <c r="BI15" s="66">
        <v>27080.862063982</v>
      </c>
      <c r="BJ15" s="66">
        <v>27004.128719091292</v>
      </c>
      <c r="BK15" s="66">
        <v>26996.726567419821</v>
      </c>
      <c r="BL15" s="66"/>
      <c r="BM15" s="66"/>
      <c r="BN15" s="66"/>
      <c r="BO15" s="66"/>
      <c r="BP15" s="66"/>
      <c r="BQ15" s="66"/>
      <c r="BR15" s="66"/>
      <c r="BS15" s="66"/>
      <c r="BT15" s="66"/>
      <c r="BU15" s="66"/>
      <c r="BV15" s="66"/>
      <c r="BW15" s="66"/>
      <c r="BX15" s="66"/>
      <c r="BY15" s="66"/>
      <c r="BZ15" s="66"/>
      <c r="CA15" s="66"/>
      <c r="CB15" s="66"/>
      <c r="CC15" s="66"/>
      <c r="CD15" s="66"/>
      <c r="CE15" s="66"/>
      <c r="CF15" s="66"/>
      <c r="CG15" s="66"/>
      <c r="CH15" s="66"/>
      <c r="CI15" s="66"/>
      <c r="CJ15" s="66"/>
    </row>
    <row r="16" spans="1:88" x14ac:dyDescent="0.25">
      <c r="B16" s="11" t="s">
        <v>177</v>
      </c>
      <c r="C16" s="66">
        <v>3689.0267329063659</v>
      </c>
      <c r="D16" s="66">
        <v>3798.7095437863509</v>
      </c>
      <c r="E16" s="66">
        <v>3902.2958449075381</v>
      </c>
      <c r="F16" s="66">
        <v>4001.5581552224739</v>
      </c>
      <c r="G16" s="66">
        <v>3908.4469822995079</v>
      </c>
      <c r="H16" s="66">
        <v>3999.508785605437</v>
      </c>
      <c r="I16" s="66">
        <v>4091.0642040855491</v>
      </c>
      <c r="J16" s="66">
        <v>4140.1377088161844</v>
      </c>
      <c r="K16" s="66">
        <v>4125.4441047652363</v>
      </c>
      <c r="L16" s="66">
        <v>4139.38029803877</v>
      </c>
      <c r="M16" s="66">
        <v>4173.3667385416666</v>
      </c>
      <c r="N16" s="66">
        <v>4206.0967306742659</v>
      </c>
      <c r="O16" s="66">
        <v>4236.955474425361</v>
      </c>
      <c r="P16" s="66">
        <v>4156.8301067750263</v>
      </c>
      <c r="Q16" s="66">
        <v>4174.474693472529</v>
      </c>
      <c r="R16" s="66">
        <v>4174.7218337428258</v>
      </c>
      <c r="S16" s="66">
        <v>3979.5889507564302</v>
      </c>
      <c r="T16" s="66">
        <v>3942.1975779445329</v>
      </c>
      <c r="U16" s="66">
        <v>3860.73310075683</v>
      </c>
      <c r="V16" s="66">
        <v>3728.4124399025568</v>
      </c>
      <c r="W16" s="66">
        <v>3667.2040483385608</v>
      </c>
      <c r="X16" s="66">
        <v>3516.4264852503852</v>
      </c>
      <c r="Y16" s="66">
        <v>3404.6537346627638</v>
      </c>
      <c r="Z16" s="66">
        <v>3352.9059241924479</v>
      </c>
      <c r="AA16" s="66">
        <v>3303.5323121170209</v>
      </c>
      <c r="AB16" s="66">
        <v>3262.702085627745</v>
      </c>
      <c r="AC16" s="66">
        <v>3228.561836722095</v>
      </c>
      <c r="AD16" s="66">
        <v>3184.2649426332068</v>
      </c>
      <c r="AE16" s="66">
        <v>3113.0573852346611</v>
      </c>
      <c r="AF16" s="66">
        <v>3062.344936652305</v>
      </c>
      <c r="AG16" s="66">
        <v>3029.396315250809</v>
      </c>
      <c r="AH16" s="66">
        <v>2994.5645298400641</v>
      </c>
      <c r="AI16" s="66">
        <v>2966.589551697929</v>
      </c>
      <c r="AJ16" s="66">
        <v>2946.7222123314868</v>
      </c>
      <c r="AK16" s="66">
        <v>2932.3037804238802</v>
      </c>
      <c r="AL16" s="66">
        <v>2920.798672894522</v>
      </c>
      <c r="AM16" s="66">
        <v>2910.304672935591</v>
      </c>
      <c r="AN16" s="66">
        <v>2901.2103954456738</v>
      </c>
      <c r="AO16" s="66">
        <v>2893.3877618346069</v>
      </c>
      <c r="AP16" s="66">
        <v>2886.7608562643122</v>
      </c>
      <c r="AQ16" s="66">
        <v>2881.0267235225542</v>
      </c>
      <c r="AR16" s="66">
        <v>2875.7980799304191</v>
      </c>
      <c r="AS16" s="66">
        <v>2871.2303634753998</v>
      </c>
      <c r="AT16" s="66">
        <v>2867.3600884057018</v>
      </c>
      <c r="AU16" s="66">
        <v>2864.042511785904</v>
      </c>
      <c r="AV16" s="66">
        <v>2861.5303942157511</v>
      </c>
      <c r="AW16" s="66">
        <v>2859.4792818461328</v>
      </c>
      <c r="AX16" s="66">
        <v>2857.9610958408971</v>
      </c>
      <c r="AY16" s="66">
        <v>2857.04153092754</v>
      </c>
      <c r="AZ16" s="66">
        <v>2856.529338933537</v>
      </c>
      <c r="BA16" s="66">
        <v>2856.7606699959242</v>
      </c>
      <c r="BB16" s="66">
        <v>2857.5456829102291</v>
      </c>
      <c r="BC16" s="66">
        <v>2858.8057900951189</v>
      </c>
      <c r="BD16" s="66">
        <v>2860.577246417191</v>
      </c>
      <c r="BE16" s="66">
        <v>2862.719761719562</v>
      </c>
      <c r="BF16" s="66">
        <v>2865.4888193980319</v>
      </c>
      <c r="BG16" s="66">
        <v>2868.55980512718</v>
      </c>
      <c r="BH16" s="66">
        <v>2871.6076900042358</v>
      </c>
      <c r="BI16" s="66">
        <v>2874.8834133884188</v>
      </c>
      <c r="BJ16" s="66">
        <v>2878.3880746332079</v>
      </c>
      <c r="BK16" s="66">
        <v>2882.3568730143288</v>
      </c>
      <c r="BL16" s="66"/>
      <c r="BM16" s="66"/>
      <c r="BN16" s="66"/>
      <c r="BO16" s="66"/>
      <c r="BP16" s="66"/>
      <c r="BQ16" s="66"/>
      <c r="BR16" s="66"/>
      <c r="BS16" s="66"/>
      <c r="BT16" s="66"/>
      <c r="BU16" s="66"/>
      <c r="BV16" s="66"/>
      <c r="BW16" s="66"/>
      <c r="BX16" s="66"/>
      <c r="BY16" s="66"/>
      <c r="BZ16" s="66"/>
      <c r="CA16" s="66"/>
      <c r="CB16" s="66"/>
      <c r="CC16" s="66"/>
      <c r="CD16" s="66"/>
      <c r="CE16" s="66"/>
      <c r="CF16" s="66"/>
      <c r="CG16" s="66"/>
      <c r="CH16" s="66"/>
      <c r="CI16" s="66"/>
      <c r="CJ16" s="66"/>
    </row>
    <row r="17" spans="1:88" x14ac:dyDescent="0.25">
      <c r="B17" s="11" t="s">
        <v>176</v>
      </c>
      <c r="C17" s="66">
        <v>0</v>
      </c>
      <c r="D17" s="66">
        <v>0</v>
      </c>
      <c r="E17" s="66">
        <v>0</v>
      </c>
      <c r="F17" s="66">
        <v>0</v>
      </c>
      <c r="G17" s="66">
        <v>0</v>
      </c>
      <c r="H17" s="66">
        <v>0</v>
      </c>
      <c r="I17" s="66">
        <v>0</v>
      </c>
      <c r="J17" s="66">
        <v>0</v>
      </c>
      <c r="K17" s="66">
        <v>0</v>
      </c>
      <c r="L17" s="66">
        <v>0</v>
      </c>
      <c r="M17" s="66">
        <v>0</v>
      </c>
      <c r="N17" s="66">
        <v>0</v>
      </c>
      <c r="O17" s="66">
        <v>0</v>
      </c>
      <c r="P17" s="66">
        <v>0</v>
      </c>
      <c r="Q17" s="66">
        <v>0</v>
      </c>
      <c r="R17" s="66">
        <v>0</v>
      </c>
      <c r="S17" s="66">
        <v>0</v>
      </c>
      <c r="T17" s="66">
        <v>0</v>
      </c>
      <c r="U17" s="66">
        <v>0</v>
      </c>
      <c r="V17" s="66">
        <v>0</v>
      </c>
      <c r="W17" s="66">
        <v>0</v>
      </c>
      <c r="X17" s="66">
        <v>0</v>
      </c>
      <c r="Y17" s="66">
        <v>0</v>
      </c>
      <c r="Z17" s="66">
        <v>0</v>
      </c>
      <c r="AA17" s="66">
        <v>0</v>
      </c>
      <c r="AB17" s="66">
        <v>0</v>
      </c>
      <c r="AC17" s="66">
        <v>0</v>
      </c>
      <c r="AD17" s="66">
        <v>0</v>
      </c>
      <c r="AE17" s="66">
        <v>0</v>
      </c>
      <c r="AF17" s="66">
        <v>0</v>
      </c>
      <c r="AG17" s="66">
        <v>0</v>
      </c>
      <c r="AH17" s="66">
        <v>0</v>
      </c>
      <c r="AI17" s="66">
        <v>0</v>
      </c>
      <c r="AJ17" s="66">
        <v>0</v>
      </c>
      <c r="AK17" s="66">
        <v>0</v>
      </c>
      <c r="AL17" s="66">
        <v>0</v>
      </c>
      <c r="AM17" s="66">
        <v>0</v>
      </c>
      <c r="AN17" s="66">
        <v>0</v>
      </c>
      <c r="AO17" s="66">
        <v>0</v>
      </c>
      <c r="AP17" s="66">
        <v>0</v>
      </c>
      <c r="AQ17" s="66">
        <v>0</v>
      </c>
      <c r="AR17" s="66">
        <v>0</v>
      </c>
      <c r="AS17" s="66">
        <v>0</v>
      </c>
      <c r="AT17" s="66">
        <v>0</v>
      </c>
      <c r="AU17" s="66">
        <v>0</v>
      </c>
      <c r="AV17" s="66">
        <v>0</v>
      </c>
      <c r="AW17" s="66">
        <v>0</v>
      </c>
      <c r="AX17" s="66">
        <v>0</v>
      </c>
      <c r="AY17" s="66">
        <v>0</v>
      </c>
      <c r="AZ17" s="66">
        <v>0</v>
      </c>
      <c r="BA17" s="66">
        <v>0</v>
      </c>
      <c r="BB17" s="66">
        <v>0</v>
      </c>
      <c r="BC17" s="66">
        <v>0</v>
      </c>
      <c r="BD17" s="66">
        <v>0</v>
      </c>
      <c r="BE17" s="66">
        <v>0</v>
      </c>
      <c r="BF17" s="66">
        <v>0</v>
      </c>
      <c r="BG17" s="66">
        <v>0</v>
      </c>
      <c r="BH17" s="66">
        <v>0</v>
      </c>
      <c r="BI17" s="66">
        <v>0</v>
      </c>
      <c r="BJ17" s="66">
        <v>0</v>
      </c>
      <c r="BK17" s="66">
        <v>0</v>
      </c>
      <c r="BL17" s="66"/>
      <c r="BM17" s="66"/>
      <c r="BN17" s="66"/>
      <c r="BO17" s="66"/>
      <c r="BP17" s="66"/>
      <c r="BQ17" s="66"/>
      <c r="BR17" s="66"/>
      <c r="BS17" s="66"/>
      <c r="BT17" s="66"/>
      <c r="BU17" s="66"/>
      <c r="BV17" s="66"/>
      <c r="BW17" s="66"/>
      <c r="BX17" s="66"/>
      <c r="BY17" s="66"/>
      <c r="BZ17" s="66"/>
      <c r="CA17" s="66"/>
      <c r="CB17" s="66"/>
      <c r="CC17" s="66"/>
      <c r="CD17" s="66"/>
      <c r="CE17" s="66"/>
      <c r="CF17" s="66"/>
      <c r="CG17" s="66"/>
      <c r="CH17" s="66"/>
      <c r="CI17" s="66"/>
      <c r="CJ17" s="66"/>
    </row>
    <row r="18" spans="1:88" x14ac:dyDescent="0.25">
      <c r="B18" s="11" t="s">
        <v>175</v>
      </c>
      <c r="C18" s="66">
        <v>31784.551250294931</v>
      </c>
      <c r="D18" s="66">
        <v>32017.45291971551</v>
      </c>
      <c r="E18" s="66">
        <v>31632.05262442397</v>
      </c>
      <c r="F18" s="66">
        <v>31849.887016304299</v>
      </c>
      <c r="G18" s="66">
        <v>32658.656583697</v>
      </c>
      <c r="H18" s="66">
        <v>33038.0228741057</v>
      </c>
      <c r="I18" s="66">
        <v>33392.063286275588</v>
      </c>
      <c r="J18" s="66">
        <v>34190.404777119773</v>
      </c>
      <c r="K18" s="66">
        <v>33559.69990068044</v>
      </c>
      <c r="L18" s="66">
        <v>33640.369984376361</v>
      </c>
      <c r="M18" s="66">
        <v>34485.286321086467</v>
      </c>
      <c r="N18" s="66">
        <v>34871.331624227823</v>
      </c>
      <c r="O18" s="66">
        <v>34679.783293644628</v>
      </c>
      <c r="P18" s="66">
        <v>35008.218513231252</v>
      </c>
      <c r="Q18" s="66">
        <v>35041.383026241703</v>
      </c>
      <c r="R18" s="66">
        <v>35267.294682917804</v>
      </c>
      <c r="S18" s="66">
        <v>35257.439517867017</v>
      </c>
      <c r="T18" s="66">
        <v>34413.578486340753</v>
      </c>
      <c r="U18" s="66">
        <v>33212.151857155739</v>
      </c>
      <c r="V18" s="66">
        <v>33240.400312580743</v>
      </c>
      <c r="W18" s="66">
        <v>33208.56332925988</v>
      </c>
      <c r="X18" s="66">
        <v>33467.746332910741</v>
      </c>
      <c r="Y18" s="66">
        <v>34054.129938749356</v>
      </c>
      <c r="Z18" s="66">
        <v>34167.363392956708</v>
      </c>
      <c r="AA18" s="66">
        <v>34426.280766045558</v>
      </c>
      <c r="AB18" s="66">
        <v>33910.522020165459</v>
      </c>
      <c r="AC18" s="66">
        <v>33525.571486912857</v>
      </c>
      <c r="AD18" s="66">
        <v>33476.45123409979</v>
      </c>
      <c r="AE18" s="66">
        <v>33607.068116830393</v>
      </c>
      <c r="AF18" s="66">
        <v>33663.581542035703</v>
      </c>
      <c r="AG18" s="66">
        <v>32889.52880804165</v>
      </c>
      <c r="AH18" s="66">
        <v>32590.939674165122</v>
      </c>
      <c r="AI18" s="66">
        <v>32286.27633386344</v>
      </c>
      <c r="AJ18" s="66">
        <v>32031.270410946821</v>
      </c>
      <c r="AK18" s="66">
        <v>31772.141576921909</v>
      </c>
      <c r="AL18" s="66">
        <v>31634.029154655331</v>
      </c>
      <c r="AM18" s="66">
        <v>31549.448406411659</v>
      </c>
      <c r="AN18" s="66">
        <v>31448.17062602254</v>
      </c>
      <c r="AO18" s="66">
        <v>31360.595991934071</v>
      </c>
      <c r="AP18" s="66">
        <v>31277.72954068382</v>
      </c>
      <c r="AQ18" s="66">
        <v>31182.269267009491</v>
      </c>
      <c r="AR18" s="66">
        <v>31141.820548122061</v>
      </c>
      <c r="AS18" s="66">
        <v>31069.893203759879</v>
      </c>
      <c r="AT18" s="66">
        <v>31014.038305927472</v>
      </c>
      <c r="AU18" s="66">
        <v>30950.708299834991</v>
      </c>
      <c r="AV18" s="66">
        <v>30879.977690066411</v>
      </c>
      <c r="AW18" s="66">
        <v>30821.40101614091</v>
      </c>
      <c r="AX18" s="66">
        <v>30752.83157083673</v>
      </c>
      <c r="AY18" s="66">
        <v>30698.638107037699</v>
      </c>
      <c r="AZ18" s="66">
        <v>30616.675199814119</v>
      </c>
      <c r="BA18" s="66">
        <v>30551.448156987339</v>
      </c>
      <c r="BB18" s="66">
        <v>30482.237437835742</v>
      </c>
      <c r="BC18" s="66">
        <v>30399.817260876662</v>
      </c>
      <c r="BD18" s="66">
        <v>30334.90657175106</v>
      </c>
      <c r="BE18" s="66">
        <v>30263.0297892874</v>
      </c>
      <c r="BF18" s="66">
        <v>30187.055797352961</v>
      </c>
      <c r="BG18" s="66">
        <v>30104.81337946311</v>
      </c>
      <c r="BH18" s="66">
        <v>30035.980475091081</v>
      </c>
      <c r="BI18" s="66">
        <v>29955.745477370419</v>
      </c>
      <c r="BJ18" s="66">
        <v>29882.516793724499</v>
      </c>
      <c r="BK18" s="66">
        <v>29879.083440434151</v>
      </c>
      <c r="BL18" s="66"/>
      <c r="BM18" s="66"/>
      <c r="BN18" s="66"/>
      <c r="BO18" s="66"/>
      <c r="BP18" s="66"/>
      <c r="BQ18" s="66"/>
      <c r="BR18" s="66"/>
      <c r="BS18" s="66"/>
      <c r="BT18" s="66"/>
      <c r="BU18" s="66"/>
      <c r="BV18" s="66"/>
      <c r="BW18" s="66"/>
      <c r="BX18" s="66"/>
      <c r="BY18" s="66"/>
      <c r="BZ18" s="66"/>
      <c r="CA18" s="66"/>
      <c r="CB18" s="66"/>
      <c r="CC18" s="66"/>
      <c r="CD18" s="66"/>
      <c r="CE18" s="66"/>
      <c r="CF18" s="66"/>
      <c r="CG18" s="66"/>
      <c r="CH18" s="66"/>
      <c r="CI18" s="66"/>
      <c r="CJ18" s="66"/>
    </row>
    <row r="19" spans="1:88" x14ac:dyDescent="0.25">
      <c r="B19" s="11" t="s">
        <v>174</v>
      </c>
      <c r="C19" s="66">
        <v>31784.551250294931</v>
      </c>
      <c r="D19" s="66">
        <v>32017.45291971551</v>
      </c>
      <c r="E19" s="66">
        <v>31632.05262442397</v>
      </c>
      <c r="F19" s="66">
        <v>31849.887016304299</v>
      </c>
      <c r="G19" s="66">
        <v>32658.656583697</v>
      </c>
      <c r="H19" s="66">
        <v>33038.0228741057</v>
      </c>
      <c r="I19" s="66">
        <v>33392.063286275588</v>
      </c>
      <c r="J19" s="66">
        <v>34190.404777119773</v>
      </c>
      <c r="K19" s="66">
        <v>33559.69990068044</v>
      </c>
      <c r="L19" s="66">
        <v>33640.369984376361</v>
      </c>
      <c r="M19" s="66">
        <v>34485.286321086467</v>
      </c>
      <c r="N19" s="66">
        <v>34871.331624227823</v>
      </c>
      <c r="O19" s="66">
        <v>34679.783293644628</v>
      </c>
      <c r="P19" s="66">
        <v>35008.218513231252</v>
      </c>
      <c r="Q19" s="66">
        <v>35041.383026241703</v>
      </c>
      <c r="R19" s="66">
        <v>35267.294682917804</v>
      </c>
      <c r="S19" s="66">
        <v>35257.439517867017</v>
      </c>
      <c r="T19" s="66">
        <v>34413.578486340753</v>
      </c>
      <c r="U19" s="66">
        <v>33212.151857155739</v>
      </c>
      <c r="V19" s="66">
        <v>33240.400312580743</v>
      </c>
      <c r="W19" s="66">
        <v>33208.56332925988</v>
      </c>
      <c r="X19" s="66">
        <v>33467.746332910741</v>
      </c>
      <c r="Y19" s="66">
        <v>34054.129938749356</v>
      </c>
      <c r="Z19" s="66">
        <v>34167.363392956708</v>
      </c>
      <c r="AA19" s="66">
        <v>34426.280766045558</v>
      </c>
      <c r="AB19" s="66">
        <v>33910.522020165459</v>
      </c>
      <c r="AC19" s="66">
        <v>33525.571486912857</v>
      </c>
      <c r="AD19" s="66">
        <v>33476.45123409979</v>
      </c>
      <c r="AE19" s="66">
        <v>33607.068116830393</v>
      </c>
      <c r="AF19" s="66">
        <v>33663.581542035703</v>
      </c>
      <c r="AG19" s="66">
        <v>32889.52880804165</v>
      </c>
      <c r="AH19" s="66">
        <v>32590.939674165122</v>
      </c>
      <c r="AI19" s="66">
        <v>32286.27633386344</v>
      </c>
      <c r="AJ19" s="66">
        <v>32031.270410946821</v>
      </c>
      <c r="AK19" s="66">
        <v>31772.141576921909</v>
      </c>
      <c r="AL19" s="66">
        <v>31634.029154655331</v>
      </c>
      <c r="AM19" s="66">
        <v>31549.448406411659</v>
      </c>
      <c r="AN19" s="66">
        <v>31448.17062602254</v>
      </c>
      <c r="AO19" s="66">
        <v>31360.595991934071</v>
      </c>
      <c r="AP19" s="66">
        <v>31277.72954068382</v>
      </c>
      <c r="AQ19" s="66">
        <v>31182.269267009491</v>
      </c>
      <c r="AR19" s="66">
        <v>31141.820548122061</v>
      </c>
      <c r="AS19" s="66">
        <v>31069.893203759879</v>
      </c>
      <c r="AT19" s="66">
        <v>31014.038305927472</v>
      </c>
      <c r="AU19" s="66">
        <v>30950.708299834991</v>
      </c>
      <c r="AV19" s="66">
        <v>30879.977690066411</v>
      </c>
      <c r="AW19" s="66">
        <v>30821.40101614091</v>
      </c>
      <c r="AX19" s="66">
        <v>30752.83157083673</v>
      </c>
      <c r="AY19" s="66">
        <v>30698.638107037699</v>
      </c>
      <c r="AZ19" s="66">
        <v>30616.675199814119</v>
      </c>
      <c r="BA19" s="66">
        <v>30551.448156987339</v>
      </c>
      <c r="BB19" s="66">
        <v>30482.237437835742</v>
      </c>
      <c r="BC19" s="66">
        <v>30399.817260876662</v>
      </c>
      <c r="BD19" s="66">
        <v>30334.90657175106</v>
      </c>
      <c r="BE19" s="66">
        <v>30263.0297892874</v>
      </c>
      <c r="BF19" s="66">
        <v>30187.055797352961</v>
      </c>
      <c r="BG19" s="66">
        <v>30104.81337946311</v>
      </c>
      <c r="BH19" s="66">
        <v>30035.980475091081</v>
      </c>
      <c r="BI19" s="66">
        <v>29955.745477370419</v>
      </c>
      <c r="BJ19" s="66">
        <v>29882.516793724499</v>
      </c>
      <c r="BK19" s="66">
        <v>29879.083440434151</v>
      </c>
      <c r="BL19" s="66"/>
      <c r="BM19" s="66"/>
      <c r="BN19" s="66"/>
      <c r="BO19" s="66"/>
      <c r="BP19" s="66"/>
      <c r="BQ19" s="66"/>
      <c r="BR19" s="66"/>
      <c r="BS19" s="66"/>
      <c r="BT19" s="66"/>
      <c r="BU19" s="66"/>
      <c r="BV19" s="66"/>
      <c r="BW19" s="66"/>
      <c r="BX19" s="66"/>
      <c r="BY19" s="66"/>
      <c r="BZ19" s="66"/>
      <c r="CA19" s="66"/>
      <c r="CB19" s="66"/>
      <c r="CC19" s="66"/>
      <c r="CD19" s="66"/>
      <c r="CE19" s="66"/>
      <c r="CF19" s="66"/>
      <c r="CG19" s="66"/>
      <c r="CH19" s="66"/>
      <c r="CI19" s="66"/>
      <c r="CJ19" s="66"/>
    </row>
    <row r="21" spans="1:88" x14ac:dyDescent="0.25">
      <c r="A21" s="11" t="s">
        <v>182</v>
      </c>
      <c r="B21" s="11" t="s">
        <v>181</v>
      </c>
      <c r="C21" s="66">
        <v>8772.237679509617</v>
      </c>
      <c r="D21" s="66">
        <v>8767.2752630880786</v>
      </c>
      <c r="E21" s="66">
        <v>9144.4364512633001</v>
      </c>
      <c r="F21" s="66">
        <v>9608.6919084949586</v>
      </c>
      <c r="G21" s="66">
        <v>10284.24640548394</v>
      </c>
      <c r="H21" s="66">
        <v>10963.5811868091</v>
      </c>
      <c r="I21" s="66">
        <v>11105.827971935279</v>
      </c>
      <c r="J21" s="66">
        <v>11340.879408676319</v>
      </c>
      <c r="K21" s="66">
        <v>11560.848690715829</v>
      </c>
      <c r="L21" s="66">
        <v>11861.218239795449</v>
      </c>
      <c r="M21" s="66">
        <v>12425.078726604441</v>
      </c>
      <c r="N21" s="66">
        <v>12491.27817453937</v>
      </c>
      <c r="O21" s="66">
        <v>12958.92107536812</v>
      </c>
      <c r="P21" s="66">
        <v>13511.211706173201</v>
      </c>
      <c r="Q21" s="66">
        <v>13819.50856164403</v>
      </c>
      <c r="R21" s="66">
        <v>13901.431354259939</v>
      </c>
      <c r="S21" s="66">
        <v>14032.69533593376</v>
      </c>
      <c r="T21" s="66">
        <v>14147.48861768307</v>
      </c>
      <c r="U21" s="66">
        <v>14180.74981805429</v>
      </c>
      <c r="V21" s="66">
        <v>13995.876029315939</v>
      </c>
      <c r="W21" s="66">
        <v>14290.214748466929</v>
      </c>
      <c r="X21" s="66">
        <v>14292.042449893719</v>
      </c>
      <c r="Y21" s="66">
        <v>14019.361964273339</v>
      </c>
      <c r="Z21" s="66">
        <v>14088.703497843169</v>
      </c>
      <c r="AA21" s="66">
        <v>14356.621057612299</v>
      </c>
      <c r="AB21" s="66">
        <v>14852.62960557593</v>
      </c>
      <c r="AC21" s="66">
        <v>14978.119688518909</v>
      </c>
      <c r="AD21" s="66">
        <v>15883.998644606911</v>
      </c>
      <c r="AE21" s="66">
        <v>16215.892718847561</v>
      </c>
      <c r="AF21" s="66">
        <v>16207.59773663236</v>
      </c>
      <c r="AG21" s="66">
        <v>14509.190355090541</v>
      </c>
      <c r="AH21" s="66">
        <v>15507.522581286939</v>
      </c>
      <c r="AI21" s="66">
        <v>16338.80552440381</v>
      </c>
      <c r="AJ21" s="66">
        <v>16785.81643492735</v>
      </c>
      <c r="AK21" s="66">
        <v>16879.121314200362</v>
      </c>
      <c r="AL21" s="66">
        <v>16948.169834958921</v>
      </c>
      <c r="AM21" s="66">
        <v>17001.50818974556</v>
      </c>
      <c r="AN21" s="66">
        <v>17030.3175027668</v>
      </c>
      <c r="AO21" s="66">
        <v>17001.59476299625</v>
      </c>
      <c r="AP21" s="66">
        <v>16934.75353018711</v>
      </c>
      <c r="AQ21" s="66">
        <v>16837.572828626769</v>
      </c>
      <c r="AR21" s="66">
        <v>16705.292389545019</v>
      </c>
      <c r="AS21" s="66">
        <v>16529.775839370101</v>
      </c>
      <c r="AT21" s="66">
        <v>16329.841540303551</v>
      </c>
      <c r="AU21" s="66">
        <v>16043.61289119199</v>
      </c>
      <c r="AV21" s="66">
        <v>15733.42334266183</v>
      </c>
      <c r="AW21" s="66">
        <v>15367.033204136391</v>
      </c>
      <c r="AX21" s="66">
        <v>14947.119756081531</v>
      </c>
      <c r="AY21" s="66">
        <v>14460.20984248885</v>
      </c>
      <c r="AZ21" s="66">
        <v>14009.601572113541</v>
      </c>
      <c r="BA21" s="66">
        <v>13525.08948890807</v>
      </c>
      <c r="BB21" s="66">
        <v>12958.908483623751</v>
      </c>
      <c r="BC21" s="66">
        <v>12476.03904098834</v>
      </c>
      <c r="BD21" s="66">
        <v>11922.516378994191</v>
      </c>
      <c r="BE21" s="66">
        <v>11377.204484831969</v>
      </c>
      <c r="BF21" s="66">
        <v>10755.560334350301</v>
      </c>
      <c r="BG21" s="66">
        <v>10185.6485861233</v>
      </c>
      <c r="BH21" s="66">
        <v>9554.4405779898061</v>
      </c>
      <c r="BI21" s="66">
        <v>8958.2767742694978</v>
      </c>
      <c r="BJ21" s="66">
        <v>8359.7775631779459</v>
      </c>
      <c r="BK21" s="66">
        <v>7765.5167300621579</v>
      </c>
      <c r="BL21" s="66"/>
      <c r="BM21" s="66"/>
      <c r="BN21" s="66"/>
      <c r="BO21" s="66"/>
      <c r="BP21" s="66"/>
      <c r="BQ21" s="66"/>
      <c r="BR21" s="66"/>
      <c r="BS21" s="66"/>
      <c r="BT21" s="66"/>
      <c r="BU21" s="66"/>
      <c r="BV21" s="66"/>
      <c r="BW21" s="66"/>
      <c r="BX21" s="66"/>
      <c r="BY21" s="66"/>
      <c r="BZ21" s="66"/>
      <c r="CA21" s="66"/>
      <c r="CB21" s="66"/>
      <c r="CC21" s="66"/>
      <c r="CD21" s="66"/>
      <c r="CE21" s="66"/>
      <c r="CF21" s="66"/>
      <c r="CG21" s="66"/>
      <c r="CH21" s="66"/>
      <c r="CI21" s="66"/>
      <c r="CJ21" s="66"/>
    </row>
    <row r="22" spans="1:88" x14ac:dyDescent="0.25">
      <c r="B22" s="11" t="s">
        <v>180</v>
      </c>
      <c r="C22" s="66">
        <v>14972.28581319526</v>
      </c>
      <c r="D22" s="66">
        <v>15358.83105968143</v>
      </c>
      <c r="E22" s="66">
        <v>16828.009577396409</v>
      </c>
      <c r="F22" s="66">
        <v>15789.29746872414</v>
      </c>
      <c r="G22" s="66">
        <v>15398.598771788</v>
      </c>
      <c r="H22" s="66">
        <v>14705.2067950775</v>
      </c>
      <c r="I22" s="66">
        <v>16043.10418271788</v>
      </c>
      <c r="J22" s="66">
        <v>17718.93491909725</v>
      </c>
      <c r="K22" s="66">
        <v>15971.20490640322</v>
      </c>
      <c r="L22" s="66">
        <v>17115.533735130699</v>
      </c>
      <c r="M22" s="66">
        <v>17354.36062749301</v>
      </c>
      <c r="N22" s="66">
        <v>19299.499745137371</v>
      </c>
      <c r="O22" s="66">
        <v>18852.477888087731</v>
      </c>
      <c r="P22" s="66">
        <v>19716.251860786091</v>
      </c>
      <c r="Q22" s="66">
        <v>19026.297046572781</v>
      </c>
      <c r="R22" s="66">
        <v>20412.54393541687</v>
      </c>
      <c r="S22" s="66">
        <v>20565.127558370579</v>
      </c>
      <c r="T22" s="66">
        <v>19157.885034476851</v>
      </c>
      <c r="U22" s="66">
        <v>20577.994791316061</v>
      </c>
      <c r="V22" s="66">
        <v>18076.653963182089</v>
      </c>
      <c r="W22" s="66">
        <v>17767.289656517849</v>
      </c>
      <c r="X22" s="66">
        <v>17008.13219754996</v>
      </c>
      <c r="Y22" s="66">
        <v>18797.165368663609</v>
      </c>
      <c r="Z22" s="66">
        <v>17937.19799111149</v>
      </c>
      <c r="AA22" s="66">
        <v>17767.466481148851</v>
      </c>
      <c r="AB22" s="66">
        <v>17675.198871578301</v>
      </c>
      <c r="AC22" s="66">
        <v>16062.283064617181</v>
      </c>
      <c r="AD22" s="66">
        <v>16716.488652812401</v>
      </c>
      <c r="AE22" s="66">
        <v>16336.02575134769</v>
      </c>
      <c r="AF22" s="66">
        <v>18055.453356820901</v>
      </c>
      <c r="AG22" s="66">
        <v>18538.236077285401</v>
      </c>
      <c r="AH22" s="66">
        <v>17206.286129717559</v>
      </c>
      <c r="AI22" s="66">
        <v>16934.386713937351</v>
      </c>
      <c r="AJ22" s="66">
        <v>15907.725801394399</v>
      </c>
      <c r="AK22" s="66">
        <v>15378.96341559853</v>
      </c>
      <c r="AL22" s="66">
        <v>13418.256920257591</v>
      </c>
      <c r="AM22" s="66">
        <v>13597.514650923729</v>
      </c>
      <c r="AN22" s="66">
        <v>13760.27967338266</v>
      </c>
      <c r="AO22" s="66">
        <v>13926.260089216061</v>
      </c>
      <c r="AP22" s="66">
        <v>14084.46719058009</v>
      </c>
      <c r="AQ22" s="66">
        <v>13677.38782992097</v>
      </c>
      <c r="AR22" s="66">
        <v>13841.474138032319</v>
      </c>
      <c r="AS22" s="66">
        <v>13865.67645869757</v>
      </c>
      <c r="AT22" s="66">
        <v>13885.761945786429</v>
      </c>
      <c r="AU22" s="66">
        <v>13931.044420091421</v>
      </c>
      <c r="AV22" s="66">
        <v>13967.053942655621</v>
      </c>
      <c r="AW22" s="66">
        <v>14001.861429161891</v>
      </c>
      <c r="AX22" s="66">
        <v>14041.339645494299</v>
      </c>
      <c r="AY22" s="66">
        <v>14089.350085293911</v>
      </c>
      <c r="AZ22" s="66">
        <v>14088.559379013341</v>
      </c>
      <c r="BA22" s="66">
        <v>13539.228190796241</v>
      </c>
      <c r="BB22" s="66">
        <v>13557.187850189161</v>
      </c>
      <c r="BC22" s="66">
        <v>13381.459474365431</v>
      </c>
      <c r="BD22" s="66">
        <v>13462.607107283209</v>
      </c>
      <c r="BE22" s="66">
        <v>13540.16231430074</v>
      </c>
      <c r="BF22" s="66">
        <v>13583.576704372539</v>
      </c>
      <c r="BG22" s="66">
        <v>13487.31860806644</v>
      </c>
      <c r="BH22" s="66">
        <v>13479.776776371709</v>
      </c>
      <c r="BI22" s="66">
        <v>13468.40798878796</v>
      </c>
      <c r="BJ22" s="66">
        <v>13421.5999434271</v>
      </c>
      <c r="BK22" s="66">
        <v>13045.723067522111</v>
      </c>
      <c r="BL22" s="66"/>
      <c r="BM22" s="66"/>
      <c r="BN22" s="66"/>
      <c r="BO22" s="66"/>
      <c r="BP22" s="66"/>
      <c r="BQ22" s="66"/>
      <c r="BR22" s="66"/>
      <c r="BS22" s="66"/>
      <c r="BT22" s="66"/>
      <c r="BU22" s="66"/>
      <c r="BV22" s="66"/>
      <c r="BW22" s="66"/>
      <c r="BX22" s="66"/>
      <c r="BY22" s="66"/>
      <c r="BZ22" s="66"/>
      <c r="CA22" s="66"/>
      <c r="CB22" s="66"/>
      <c r="CC22" s="66"/>
      <c r="CD22" s="66"/>
      <c r="CE22" s="66"/>
      <c r="CF22" s="66"/>
      <c r="CG22" s="66"/>
      <c r="CH22" s="66"/>
      <c r="CI22" s="66"/>
      <c r="CJ22" s="66"/>
    </row>
    <row r="23" spans="1:88" x14ac:dyDescent="0.25">
      <c r="B23" s="11" t="s">
        <v>179</v>
      </c>
      <c r="C23" s="66">
        <v>3579.9241346438948</v>
      </c>
      <c r="D23" s="66">
        <v>3728.6111222987829</v>
      </c>
      <c r="E23" s="66">
        <v>3374.0926125681872</v>
      </c>
      <c r="F23" s="66">
        <v>3213.46424400559</v>
      </c>
      <c r="G23" s="66">
        <v>3082.8039477327038</v>
      </c>
      <c r="H23" s="66">
        <v>3174.431966103547</v>
      </c>
      <c r="I23" s="66">
        <v>3374.1291486420491</v>
      </c>
      <c r="J23" s="66">
        <v>3234.7668142669222</v>
      </c>
      <c r="K23" s="66">
        <v>3261.322727829941</v>
      </c>
      <c r="L23" s="66">
        <v>3398.6403172224541</v>
      </c>
      <c r="M23" s="66">
        <v>3443.2215068220412</v>
      </c>
      <c r="N23" s="66">
        <v>3558.481017277556</v>
      </c>
      <c r="O23" s="66">
        <v>3680.4558967406151</v>
      </c>
      <c r="P23" s="66">
        <v>3916.5350179642091</v>
      </c>
      <c r="Q23" s="66">
        <v>3952.997270519284</v>
      </c>
      <c r="R23" s="66">
        <v>4061.6484302342869</v>
      </c>
      <c r="S23" s="66">
        <v>4171.1765319764372</v>
      </c>
      <c r="T23" s="66">
        <v>4420.9728580868059</v>
      </c>
      <c r="U23" s="66">
        <v>4320.1106227639484</v>
      </c>
      <c r="V23" s="66">
        <v>4193.1815124439063</v>
      </c>
      <c r="W23" s="66">
        <v>4543.7084841158439</v>
      </c>
      <c r="X23" s="66">
        <v>4632.1515876130061</v>
      </c>
      <c r="Y23" s="66">
        <v>4672.9275485600028</v>
      </c>
      <c r="Z23" s="66">
        <v>4819.442430217081</v>
      </c>
      <c r="AA23" s="66">
        <v>4987.2835293870512</v>
      </c>
      <c r="AB23" s="66">
        <v>5189.6507094176031</v>
      </c>
      <c r="AC23" s="66">
        <v>5037.5346044766484</v>
      </c>
      <c r="AD23" s="66">
        <v>5136.0643293733483</v>
      </c>
      <c r="AE23" s="66">
        <v>5186.9128282624524</v>
      </c>
      <c r="AF23" s="66">
        <v>5115.9066787428146</v>
      </c>
      <c r="AG23" s="66">
        <v>5101.7033179749506</v>
      </c>
      <c r="AH23" s="66">
        <v>5097.4255598662276</v>
      </c>
      <c r="AI23" s="66">
        <v>5140.6691626820084</v>
      </c>
      <c r="AJ23" s="66">
        <v>5166.1401603787381</v>
      </c>
      <c r="AK23" s="66">
        <v>5210.3283515458206</v>
      </c>
      <c r="AL23" s="66">
        <v>4544.7430986579266</v>
      </c>
      <c r="AM23" s="66">
        <v>4534.0669885454254</v>
      </c>
      <c r="AN23" s="66">
        <v>4484.0288796497289</v>
      </c>
      <c r="AO23" s="66">
        <v>4440.3166033114276</v>
      </c>
      <c r="AP23" s="66">
        <v>4419.7514162956004</v>
      </c>
      <c r="AQ23" s="66">
        <v>4358.6490564550804</v>
      </c>
      <c r="AR23" s="66">
        <v>4313.5855418184274</v>
      </c>
      <c r="AS23" s="66">
        <v>4270.656978899643</v>
      </c>
      <c r="AT23" s="66">
        <v>4214.9337089418696</v>
      </c>
      <c r="AU23" s="66">
        <v>4168.3952387620138</v>
      </c>
      <c r="AV23" s="66">
        <v>4140.1533709457199</v>
      </c>
      <c r="AW23" s="66">
        <v>4101.4559814530048</v>
      </c>
      <c r="AX23" s="66">
        <v>4075.8620964925258</v>
      </c>
      <c r="AY23" s="66">
        <v>4052.6338167069739</v>
      </c>
      <c r="AZ23" s="66">
        <v>4031.8788942586411</v>
      </c>
      <c r="BA23" s="66">
        <v>3984.5346102009639</v>
      </c>
      <c r="BB23" s="66">
        <v>3970.9258258019208</v>
      </c>
      <c r="BC23" s="66">
        <v>3960.6398472025521</v>
      </c>
      <c r="BD23" s="66">
        <v>3956.6353343765059</v>
      </c>
      <c r="BE23" s="66">
        <v>3956.192227413419</v>
      </c>
      <c r="BF23" s="66">
        <v>3958.9090480091631</v>
      </c>
      <c r="BG23" s="66">
        <v>3965.701232810809</v>
      </c>
      <c r="BH23" s="66">
        <v>3976.7100342623112</v>
      </c>
      <c r="BI23" s="66">
        <v>3990.2878975304352</v>
      </c>
      <c r="BJ23" s="66">
        <v>4005.37062559173</v>
      </c>
      <c r="BK23" s="66">
        <v>4024.177176159114</v>
      </c>
      <c r="BL23" s="66"/>
      <c r="BM23" s="66"/>
      <c r="BN23" s="66"/>
      <c r="BO23" s="66"/>
      <c r="BP23" s="66"/>
      <c r="BQ23" s="66"/>
      <c r="BR23" s="66"/>
      <c r="BS23" s="66"/>
      <c r="BT23" s="66"/>
      <c r="BU23" s="66"/>
      <c r="BV23" s="66"/>
      <c r="BW23" s="66"/>
      <c r="BX23" s="66"/>
      <c r="BY23" s="66"/>
      <c r="BZ23" s="66"/>
      <c r="CA23" s="66"/>
      <c r="CB23" s="66"/>
      <c r="CC23" s="66"/>
      <c r="CD23" s="66"/>
      <c r="CE23" s="66"/>
      <c r="CF23" s="66"/>
      <c r="CG23" s="66"/>
      <c r="CH23" s="66"/>
      <c r="CI23" s="66"/>
      <c r="CJ23" s="66"/>
    </row>
    <row r="24" spans="1:88" x14ac:dyDescent="0.25">
      <c r="B24" s="11" t="s">
        <v>178</v>
      </c>
      <c r="C24" s="66">
        <v>5744.7592317725976</v>
      </c>
      <c r="D24" s="66">
        <v>5856.0878986574498</v>
      </c>
      <c r="E24" s="66">
        <v>5898.6884738307926</v>
      </c>
      <c r="F24" s="66">
        <v>6171.6754300538123</v>
      </c>
      <c r="G24" s="66">
        <v>6454.6555040250969</v>
      </c>
      <c r="H24" s="66">
        <v>6775.4945017800201</v>
      </c>
      <c r="I24" s="66">
        <v>6806.5810400139453</v>
      </c>
      <c r="J24" s="66">
        <v>6920.7614203250232</v>
      </c>
      <c r="K24" s="66">
        <v>6940.0849382602428</v>
      </c>
      <c r="L24" s="66">
        <v>7062.7239175601462</v>
      </c>
      <c r="M24" s="66">
        <v>7407.3881576103704</v>
      </c>
      <c r="N24" s="66">
        <v>7893.1172932969239</v>
      </c>
      <c r="O24" s="66">
        <v>8131.9031407661569</v>
      </c>
      <c r="P24" s="66">
        <v>8329.4897015625538</v>
      </c>
      <c r="Q24" s="66">
        <v>8454.249954592764</v>
      </c>
      <c r="R24" s="66">
        <v>8593.3358543306713</v>
      </c>
      <c r="S24" s="66">
        <v>8242.309645322166</v>
      </c>
      <c r="T24" s="66">
        <v>8136.2797292921196</v>
      </c>
      <c r="U24" s="66">
        <v>8073.0289576329051</v>
      </c>
      <c r="V24" s="66">
        <v>8135.3597163781087</v>
      </c>
      <c r="W24" s="66">
        <v>8262.593799789458</v>
      </c>
      <c r="X24" s="66">
        <v>8506.408006498139</v>
      </c>
      <c r="Y24" s="66">
        <v>8657.6252970817113</v>
      </c>
      <c r="Z24" s="66">
        <v>8570.2534630401897</v>
      </c>
      <c r="AA24" s="66">
        <v>8887.2511163981071</v>
      </c>
      <c r="AB24" s="66">
        <v>8845.6587928075096</v>
      </c>
      <c r="AC24" s="66">
        <v>8818.2702357706657</v>
      </c>
      <c r="AD24" s="66">
        <v>8813.9957693549113</v>
      </c>
      <c r="AE24" s="66">
        <v>8976.5325499931278</v>
      </c>
      <c r="AF24" s="66">
        <v>9016.469681031238</v>
      </c>
      <c r="AG24" s="66">
        <v>8799.4769982237631</v>
      </c>
      <c r="AH24" s="66">
        <v>8747.350327241038</v>
      </c>
      <c r="AI24" s="66">
        <v>8690.619161123941</v>
      </c>
      <c r="AJ24" s="66">
        <v>8645.0332792978152</v>
      </c>
      <c r="AK24" s="66">
        <v>8595.6424358223521</v>
      </c>
      <c r="AL24" s="66">
        <v>8561.618643242924</v>
      </c>
      <c r="AM24" s="66">
        <v>8540.0943738805145</v>
      </c>
      <c r="AN24" s="66">
        <v>8514.1669486381179</v>
      </c>
      <c r="AO24" s="66">
        <v>8491.8428765381905</v>
      </c>
      <c r="AP24" s="66">
        <v>8470.1758024023475</v>
      </c>
      <c r="AQ24" s="66">
        <v>8443.161258367054</v>
      </c>
      <c r="AR24" s="66">
        <v>8432.995602001487</v>
      </c>
      <c r="AS24" s="66">
        <v>8413.3572695462499</v>
      </c>
      <c r="AT24" s="66">
        <v>8398.0604943281505</v>
      </c>
      <c r="AU24" s="66">
        <v>8381.3297229949676</v>
      </c>
      <c r="AV24" s="66">
        <v>8361.570850738568</v>
      </c>
      <c r="AW24" s="66">
        <v>8345.7460272429889</v>
      </c>
      <c r="AX24" s="66">
        <v>8326.9218768868741</v>
      </c>
      <c r="AY24" s="66">
        <v>8313.0162911769403</v>
      </c>
      <c r="AZ24" s="66">
        <v>8290.7968711075264</v>
      </c>
      <c r="BA24" s="66">
        <v>8274.8014732038318</v>
      </c>
      <c r="BB24" s="66">
        <v>8256.9428061766375</v>
      </c>
      <c r="BC24" s="66">
        <v>8235.0784365918771</v>
      </c>
      <c r="BD24" s="66">
        <v>8219.2723112083841</v>
      </c>
      <c r="BE24" s="66">
        <v>8200.0219814806842</v>
      </c>
      <c r="BF24" s="66">
        <v>8179.9997056990214</v>
      </c>
      <c r="BG24" s="66">
        <v>8158.4629560548492</v>
      </c>
      <c r="BH24" s="66">
        <v>8140.7572340337174</v>
      </c>
      <c r="BI24" s="66">
        <v>8119.6802326284487</v>
      </c>
      <c r="BJ24" s="66">
        <v>8093.982569321608</v>
      </c>
      <c r="BK24" s="66">
        <v>8053.5185916558294</v>
      </c>
      <c r="BL24" s="66"/>
      <c r="BM24" s="66"/>
      <c r="BN24" s="66"/>
      <c r="BO24" s="66"/>
      <c r="BP24" s="66"/>
      <c r="BQ24" s="66"/>
      <c r="BR24" s="66"/>
      <c r="BS24" s="66"/>
      <c r="BT24" s="66"/>
      <c r="BU24" s="66"/>
      <c r="BV24" s="66"/>
      <c r="BW24" s="66"/>
      <c r="BX24" s="66"/>
      <c r="BY24" s="66"/>
      <c r="BZ24" s="66"/>
      <c r="CA24" s="66"/>
      <c r="CB24" s="66"/>
      <c r="CC24" s="66"/>
      <c r="CD24" s="66"/>
      <c r="CE24" s="66"/>
      <c r="CF24" s="66"/>
      <c r="CG24" s="66"/>
      <c r="CH24" s="66"/>
      <c r="CI24" s="66"/>
      <c r="CJ24" s="66"/>
    </row>
    <row r="25" spans="1:88" x14ac:dyDescent="0.25">
      <c r="B25" s="11" t="s">
        <v>177</v>
      </c>
      <c r="C25" s="66">
        <v>272.29607405313851</v>
      </c>
      <c r="D25" s="66">
        <v>273.79453490736933</v>
      </c>
      <c r="E25" s="66">
        <v>272.95819271139231</v>
      </c>
      <c r="F25" s="66">
        <v>277.21308470034728</v>
      </c>
      <c r="G25" s="66">
        <v>253.23806789538961</v>
      </c>
      <c r="H25" s="66">
        <v>253.24191541558781</v>
      </c>
      <c r="I25" s="66">
        <v>248.59100309597349</v>
      </c>
      <c r="J25" s="66">
        <v>260.16613289884663</v>
      </c>
      <c r="K25" s="66">
        <v>272.80914498107632</v>
      </c>
      <c r="L25" s="66">
        <v>284.49096880338487</v>
      </c>
      <c r="M25" s="66">
        <v>278.79764626680299</v>
      </c>
      <c r="N25" s="66">
        <v>269.05289231736612</v>
      </c>
      <c r="O25" s="66">
        <v>256.35306962124292</v>
      </c>
      <c r="P25" s="66">
        <v>248.3358085265663</v>
      </c>
      <c r="Q25" s="66">
        <v>250.30352663177109</v>
      </c>
      <c r="R25" s="66">
        <v>245.4234949784159</v>
      </c>
      <c r="S25" s="66">
        <v>245.18416236048921</v>
      </c>
      <c r="T25" s="66">
        <v>241.87185791753291</v>
      </c>
      <c r="U25" s="66">
        <v>236.90641125936509</v>
      </c>
      <c r="V25" s="66">
        <v>235.96379048784999</v>
      </c>
      <c r="W25" s="66">
        <v>239.51084245881071</v>
      </c>
      <c r="X25" s="66">
        <v>238.2071536215708</v>
      </c>
      <c r="Y25" s="66">
        <v>240.7938891735844</v>
      </c>
      <c r="Z25" s="66">
        <v>241.2846987733792</v>
      </c>
      <c r="AA25" s="66">
        <v>245.56844850670271</v>
      </c>
      <c r="AB25" s="66">
        <v>247.3459738264232</v>
      </c>
      <c r="AC25" s="66">
        <v>253.12906684186871</v>
      </c>
      <c r="AD25" s="66">
        <v>251.46164293069569</v>
      </c>
      <c r="AE25" s="66">
        <v>252.23371021907309</v>
      </c>
      <c r="AF25" s="66">
        <v>254.56273860185269</v>
      </c>
      <c r="AG25" s="66">
        <v>265.53575507086589</v>
      </c>
      <c r="AH25" s="66">
        <v>267.00272559408398</v>
      </c>
      <c r="AI25" s="66">
        <v>268.1723895024943</v>
      </c>
      <c r="AJ25" s="66">
        <v>269.31909230511337</v>
      </c>
      <c r="AK25" s="66">
        <v>270.38779685859942</v>
      </c>
      <c r="AL25" s="66">
        <v>271.44683762444669</v>
      </c>
      <c r="AM25" s="66">
        <v>272.43384754537237</v>
      </c>
      <c r="AN25" s="66">
        <v>273.3824254893384</v>
      </c>
      <c r="AO25" s="66">
        <v>274.28401822230899</v>
      </c>
      <c r="AP25" s="66">
        <v>275.13409561010621</v>
      </c>
      <c r="AQ25" s="66">
        <v>275.93597097151451</v>
      </c>
      <c r="AR25" s="66">
        <v>276.6599031941023</v>
      </c>
      <c r="AS25" s="66">
        <v>277.34350896216159</v>
      </c>
      <c r="AT25" s="66">
        <v>277.97309647372782</v>
      </c>
      <c r="AU25" s="66">
        <v>278.54575958771011</v>
      </c>
      <c r="AV25" s="66">
        <v>279.06812873378391</v>
      </c>
      <c r="AW25" s="66">
        <v>279.57363511172031</v>
      </c>
      <c r="AX25" s="66">
        <v>280.06781067424248</v>
      </c>
      <c r="AY25" s="66">
        <v>280.55444002520062</v>
      </c>
      <c r="AZ25" s="66">
        <v>281.03230049900549</v>
      </c>
      <c r="BA25" s="66">
        <v>281.5023434286004</v>
      </c>
      <c r="BB25" s="66">
        <v>281.96706376378421</v>
      </c>
      <c r="BC25" s="66">
        <v>282.42552380644929</v>
      </c>
      <c r="BD25" s="66">
        <v>282.88053872345517</v>
      </c>
      <c r="BE25" s="66">
        <v>283.32901426427497</v>
      </c>
      <c r="BF25" s="66">
        <v>283.77327620320972</v>
      </c>
      <c r="BG25" s="66">
        <v>284.21097248475962</v>
      </c>
      <c r="BH25" s="66">
        <v>284.63902038585962</v>
      </c>
      <c r="BI25" s="66">
        <v>285.06927763933942</v>
      </c>
      <c r="BJ25" s="66">
        <v>285.49166196728493</v>
      </c>
      <c r="BK25" s="66">
        <v>285.91726867256881</v>
      </c>
      <c r="BL25" s="66"/>
      <c r="BM25" s="66"/>
      <c r="BN25" s="66"/>
      <c r="BO25" s="66"/>
      <c r="BP25" s="66"/>
      <c r="BQ25" s="66"/>
      <c r="BR25" s="66"/>
      <c r="BS25" s="66"/>
      <c r="BT25" s="66"/>
      <c r="BU25" s="66"/>
      <c r="BV25" s="66"/>
      <c r="BW25" s="66"/>
      <c r="BX25" s="66"/>
      <c r="BY25" s="66"/>
      <c r="BZ25" s="66"/>
      <c r="CA25" s="66"/>
      <c r="CB25" s="66"/>
      <c r="CC25" s="66"/>
      <c r="CD25" s="66"/>
      <c r="CE25" s="66"/>
      <c r="CF25" s="66"/>
      <c r="CG25" s="66"/>
      <c r="CH25" s="66"/>
      <c r="CI25" s="66"/>
      <c r="CJ25" s="66"/>
    </row>
    <row r="26" spans="1:88" x14ac:dyDescent="0.25">
      <c r="B26" s="11" t="s">
        <v>176</v>
      </c>
      <c r="C26" s="66">
        <v>665.60775219532991</v>
      </c>
      <c r="D26" s="66">
        <v>676.96490913684556</v>
      </c>
      <c r="E26" s="66">
        <v>766.44383314418587</v>
      </c>
      <c r="F26" s="66">
        <v>815.65117372812551</v>
      </c>
      <c r="G26" s="66">
        <v>834.97323531826112</v>
      </c>
      <c r="H26" s="66">
        <v>552.58791030476755</v>
      </c>
      <c r="I26" s="66">
        <v>-184.88321335853809</v>
      </c>
      <c r="J26" s="66">
        <v>-1390.3944471489931</v>
      </c>
      <c r="K26" s="66">
        <v>-3377.9560506208309</v>
      </c>
      <c r="L26" s="66">
        <v>-6009.0610497527787</v>
      </c>
      <c r="M26" s="66">
        <v>-6106.9622169089553</v>
      </c>
      <c r="N26" s="66">
        <v>-8551.4312043525169</v>
      </c>
      <c r="O26" s="66">
        <v>-10633.94865603817</v>
      </c>
      <c r="P26" s="66">
        <v>-10084.70435127073</v>
      </c>
      <c r="Q26" s="66">
        <v>-7218.0099532420736</v>
      </c>
      <c r="R26" s="66">
        <v>-1950.784276649656</v>
      </c>
      <c r="S26" s="66">
        <v>685.43184862696637</v>
      </c>
      <c r="T26" s="66">
        <v>5943.1294763206406</v>
      </c>
      <c r="U26" s="66">
        <v>-13775.893910354789</v>
      </c>
      <c r="V26" s="66">
        <v>-11503.389537710091</v>
      </c>
      <c r="W26" s="66">
        <v>-12436.8036332096</v>
      </c>
      <c r="X26" s="66">
        <v>-13473.69962601804</v>
      </c>
      <c r="Y26" s="66">
        <v>-11701.17873528489</v>
      </c>
      <c r="Z26" s="66">
        <v>-8907.8645594351565</v>
      </c>
      <c r="AA26" s="66">
        <v>-12194.712173791409</v>
      </c>
      <c r="AB26" s="66">
        <v>-13202.520611804081</v>
      </c>
      <c r="AC26" s="66">
        <v>-14095.9646202599</v>
      </c>
      <c r="AD26" s="66">
        <v>-12383.44458105273</v>
      </c>
      <c r="AE26" s="66">
        <v>-10490.05519428377</v>
      </c>
      <c r="AF26" s="66">
        <v>-7390.2130984936066</v>
      </c>
      <c r="AG26" s="66">
        <v>-8567.5852885660443</v>
      </c>
      <c r="AH26" s="66">
        <v>-7347.1453135279316</v>
      </c>
      <c r="AI26" s="66">
        <v>-6876.1794858355424</v>
      </c>
      <c r="AJ26" s="66">
        <v>-6287.5029672735418</v>
      </c>
      <c r="AK26" s="66">
        <v>-6089.6857717078901</v>
      </c>
      <c r="AL26" s="66">
        <v>-6547.5135200577088</v>
      </c>
      <c r="AM26" s="66">
        <v>-7375.2760580651047</v>
      </c>
      <c r="AN26" s="66">
        <v>-8188.3127346602914</v>
      </c>
      <c r="AO26" s="66">
        <v>-9026.7194945333031</v>
      </c>
      <c r="AP26" s="66">
        <v>-9717.704215205642</v>
      </c>
      <c r="AQ26" s="66">
        <v>-10293.532550064599</v>
      </c>
      <c r="AR26" s="66">
        <v>-10887.247498962441</v>
      </c>
      <c r="AS26" s="66">
        <v>-11475.56822550453</v>
      </c>
      <c r="AT26" s="66">
        <v>-11997.370282720491</v>
      </c>
      <c r="AU26" s="66">
        <v>-12440.017088788411</v>
      </c>
      <c r="AV26" s="66">
        <v>-13067.82069537686</v>
      </c>
      <c r="AW26" s="66">
        <v>-13980.484997370741</v>
      </c>
      <c r="AX26" s="66">
        <v>-15542.14437097888</v>
      </c>
      <c r="AY26" s="66">
        <v>-16530.118075875009</v>
      </c>
      <c r="AZ26" s="66">
        <v>-17557.508379921899</v>
      </c>
      <c r="BA26" s="66">
        <v>-18595.474265300909</v>
      </c>
      <c r="BB26" s="66">
        <v>-19435.007064898691</v>
      </c>
      <c r="BC26" s="66">
        <v>-19856.45522119795</v>
      </c>
      <c r="BD26" s="66">
        <v>-20173.95511583997</v>
      </c>
      <c r="BE26" s="66">
        <v>-20473.126751235319</v>
      </c>
      <c r="BF26" s="66">
        <v>-20832.76222451817</v>
      </c>
      <c r="BG26" s="66">
        <v>-21310.507603405269</v>
      </c>
      <c r="BH26" s="66">
        <v>-21823.409268637519</v>
      </c>
      <c r="BI26" s="66">
        <v>-22350.084648204429</v>
      </c>
      <c r="BJ26" s="66">
        <v>-22877.869960976659</v>
      </c>
      <c r="BK26" s="66">
        <v>-23410.864797279079</v>
      </c>
      <c r="BL26" s="66"/>
      <c r="BM26" s="66"/>
      <c r="BN26" s="66"/>
      <c r="BO26" s="66"/>
      <c r="BP26" s="66"/>
      <c r="BQ26" s="66"/>
      <c r="BR26" s="66"/>
      <c r="BS26" s="66"/>
      <c r="BT26" s="66"/>
      <c r="BU26" s="66"/>
      <c r="BV26" s="66"/>
      <c r="BW26" s="66"/>
      <c r="BX26" s="66"/>
      <c r="BY26" s="66"/>
      <c r="BZ26" s="66"/>
      <c r="CA26" s="66"/>
      <c r="CB26" s="66"/>
      <c r="CC26" s="66"/>
      <c r="CD26" s="66"/>
      <c r="CE26" s="66"/>
      <c r="CF26" s="66"/>
      <c r="CG26" s="66"/>
      <c r="CH26" s="66"/>
      <c r="CI26" s="66"/>
      <c r="CJ26" s="66"/>
    </row>
    <row r="27" spans="1:88" x14ac:dyDescent="0.25">
      <c r="B27" s="11" t="s">
        <v>175</v>
      </c>
      <c r="C27" s="66">
        <v>34007.110685369837</v>
      </c>
      <c r="D27" s="66">
        <v>34661.564787769952</v>
      </c>
      <c r="E27" s="66">
        <v>36284.629140914272</v>
      </c>
      <c r="F27" s="66">
        <v>35875.993309706981</v>
      </c>
      <c r="G27" s="66">
        <v>36308.51593224339</v>
      </c>
      <c r="H27" s="66">
        <v>36424.544275490523</v>
      </c>
      <c r="I27" s="66">
        <v>37393.350133046588</v>
      </c>
      <c r="J27" s="66">
        <v>38085.114248115358</v>
      </c>
      <c r="K27" s="66">
        <v>34628.314357569478</v>
      </c>
      <c r="L27" s="66">
        <v>33713.546128759357</v>
      </c>
      <c r="M27" s="66">
        <v>34801.8844478877</v>
      </c>
      <c r="N27" s="66">
        <v>34959.997918216082</v>
      </c>
      <c r="O27" s="66">
        <v>33246.162414545703</v>
      </c>
      <c r="P27" s="66">
        <v>35637.119743741889</v>
      </c>
      <c r="Q27" s="66">
        <v>38285.346406718563</v>
      </c>
      <c r="R27" s="66">
        <v>45263.598792570519</v>
      </c>
      <c r="S27" s="66">
        <v>47941.925082590402</v>
      </c>
      <c r="T27" s="66">
        <v>52047.627573777019</v>
      </c>
      <c r="U27" s="66">
        <v>33612.896690671769</v>
      </c>
      <c r="V27" s="66">
        <v>33133.645474097793</v>
      </c>
      <c r="W27" s="66">
        <v>32666.513898139288</v>
      </c>
      <c r="X27" s="66">
        <v>31203.241769158351</v>
      </c>
      <c r="Y27" s="66">
        <v>34686.695332467352</v>
      </c>
      <c r="Z27" s="66">
        <v>36749.017521550151</v>
      </c>
      <c r="AA27" s="66">
        <v>34049.478459261612</v>
      </c>
      <c r="AB27" s="66">
        <v>33607.963341401693</v>
      </c>
      <c r="AC27" s="66">
        <v>31053.372039965379</v>
      </c>
      <c r="AD27" s="66">
        <v>34418.564458025532</v>
      </c>
      <c r="AE27" s="66">
        <v>36477.542364386129</v>
      </c>
      <c r="AF27" s="66">
        <v>41259.777093335557</v>
      </c>
      <c r="AG27" s="66">
        <v>38646.557215079483</v>
      </c>
      <c r="AH27" s="66">
        <v>39478.442010177911</v>
      </c>
      <c r="AI27" s="66">
        <v>40496.473465814059</v>
      </c>
      <c r="AJ27" s="66">
        <v>40486.531801029872</v>
      </c>
      <c r="AK27" s="66">
        <v>40244.757542317777</v>
      </c>
      <c r="AL27" s="66">
        <v>37196.721814684097</v>
      </c>
      <c r="AM27" s="66">
        <v>36570.341992575493</v>
      </c>
      <c r="AN27" s="66">
        <v>35873.862695266347</v>
      </c>
      <c r="AO27" s="66">
        <v>35107.578855750937</v>
      </c>
      <c r="AP27" s="66">
        <v>34466.577819869613</v>
      </c>
      <c r="AQ27" s="66">
        <v>33299.174394276793</v>
      </c>
      <c r="AR27" s="66">
        <v>32682.76007562891</v>
      </c>
      <c r="AS27" s="66">
        <v>31881.241829971212</v>
      </c>
      <c r="AT27" s="66">
        <v>31109.200503113228</v>
      </c>
      <c r="AU27" s="66">
        <v>30362.910943839692</v>
      </c>
      <c r="AV27" s="66">
        <v>29413.448940358659</v>
      </c>
      <c r="AW27" s="66">
        <v>28115.185279735259</v>
      </c>
      <c r="AX27" s="66">
        <v>26129.166814650602</v>
      </c>
      <c r="AY27" s="66">
        <v>24665.64639981688</v>
      </c>
      <c r="AZ27" s="66">
        <v>23144.36063707016</v>
      </c>
      <c r="BA27" s="66">
        <v>21009.68184123679</v>
      </c>
      <c r="BB27" s="66">
        <v>19590.92496465657</v>
      </c>
      <c r="BC27" s="66">
        <v>18479.187101756721</v>
      </c>
      <c r="BD27" s="66">
        <v>17669.956554745779</v>
      </c>
      <c r="BE27" s="66">
        <v>16883.78327105577</v>
      </c>
      <c r="BF27" s="66">
        <v>15929.056844116079</v>
      </c>
      <c r="BG27" s="66">
        <v>14770.834752134881</v>
      </c>
      <c r="BH27" s="66">
        <v>13612.914374405889</v>
      </c>
      <c r="BI27" s="66">
        <v>12471.63752265125</v>
      </c>
      <c r="BJ27" s="66">
        <v>11288.352402508999</v>
      </c>
      <c r="BK27" s="66">
        <v>9763.9880367926926</v>
      </c>
      <c r="BL27" s="66"/>
      <c r="BM27" s="66"/>
      <c r="BN27" s="66"/>
      <c r="BO27" s="66"/>
      <c r="BP27" s="66"/>
      <c r="BQ27" s="66"/>
      <c r="BR27" s="66"/>
      <c r="BS27" s="66"/>
      <c r="BT27" s="66"/>
      <c r="BU27" s="66"/>
      <c r="BV27" s="66"/>
      <c r="BW27" s="66"/>
      <c r="BX27" s="66"/>
      <c r="BY27" s="66"/>
      <c r="BZ27" s="66"/>
      <c r="CA27" s="66"/>
      <c r="CB27" s="66"/>
      <c r="CC27" s="66"/>
      <c r="CD27" s="66"/>
      <c r="CE27" s="66"/>
      <c r="CF27" s="66"/>
      <c r="CG27" s="66"/>
      <c r="CH27" s="66"/>
      <c r="CI27" s="66"/>
      <c r="CJ27" s="66"/>
    </row>
    <row r="28" spans="1:88" x14ac:dyDescent="0.25">
      <c r="B28" s="11" t="s">
        <v>174</v>
      </c>
      <c r="C28" s="66">
        <v>33341.50293317451</v>
      </c>
      <c r="D28" s="66">
        <v>33984.599878633097</v>
      </c>
      <c r="E28" s="66">
        <v>35518.18530777008</v>
      </c>
      <c r="F28" s="66">
        <v>35060.342135978863</v>
      </c>
      <c r="G28" s="66">
        <v>35473.542696925128</v>
      </c>
      <c r="H28" s="66">
        <v>35871.956365185753</v>
      </c>
      <c r="I28" s="66">
        <v>37578.233346405133</v>
      </c>
      <c r="J28" s="66">
        <v>39475.508695264347</v>
      </c>
      <c r="K28" s="66">
        <v>38006.270408190307</v>
      </c>
      <c r="L28" s="66">
        <v>39722.607178512138</v>
      </c>
      <c r="M28" s="66">
        <v>40908.846664796663</v>
      </c>
      <c r="N28" s="66">
        <v>43511.429122568588</v>
      </c>
      <c r="O28" s="66">
        <v>43880.111070583873</v>
      </c>
      <c r="P28" s="66">
        <v>45721.82409501262</v>
      </c>
      <c r="Q28" s="66">
        <v>45503.356359960628</v>
      </c>
      <c r="R28" s="66">
        <v>47214.383069220166</v>
      </c>
      <c r="S28" s="66">
        <v>47256.493233963432</v>
      </c>
      <c r="T28" s="66">
        <v>46104.49809745638</v>
      </c>
      <c r="U28" s="66">
        <v>47388.790601026558</v>
      </c>
      <c r="V28" s="66">
        <v>44637.035011807893</v>
      </c>
      <c r="W28" s="66">
        <v>45103.31753134889</v>
      </c>
      <c r="X28" s="66">
        <v>44676.941395176393</v>
      </c>
      <c r="Y28" s="66">
        <v>46387.874067752236</v>
      </c>
      <c r="Z28" s="66">
        <v>45656.882080985313</v>
      </c>
      <c r="AA28" s="66">
        <v>46244.190633053018</v>
      </c>
      <c r="AB28" s="66">
        <v>46810.483953205767</v>
      </c>
      <c r="AC28" s="66">
        <v>45149.336660225272</v>
      </c>
      <c r="AD28" s="66">
        <v>46802.009039078257</v>
      </c>
      <c r="AE28" s="66">
        <v>46967.597558669899</v>
      </c>
      <c r="AF28" s="66">
        <v>48649.990191829173</v>
      </c>
      <c r="AG28" s="66">
        <v>47214.142503645518</v>
      </c>
      <c r="AH28" s="66">
        <v>46825.58732370584</v>
      </c>
      <c r="AI28" s="66">
        <v>47372.652951649601</v>
      </c>
      <c r="AJ28" s="66">
        <v>46774.034768303412</v>
      </c>
      <c r="AK28" s="66">
        <v>46334.443314025673</v>
      </c>
      <c r="AL28" s="66">
        <v>43744.23533474181</v>
      </c>
      <c r="AM28" s="66">
        <v>43945.618050640587</v>
      </c>
      <c r="AN28" s="66">
        <v>44062.175429926647</v>
      </c>
      <c r="AO28" s="66">
        <v>44134.29835028424</v>
      </c>
      <c r="AP28" s="66">
        <v>44184.282035075237</v>
      </c>
      <c r="AQ28" s="66">
        <v>43592.706944341393</v>
      </c>
      <c r="AR28" s="66">
        <v>43570.007574591356</v>
      </c>
      <c r="AS28" s="66">
        <v>43356.810055475733</v>
      </c>
      <c r="AT28" s="66">
        <v>43106.570785833726</v>
      </c>
      <c r="AU28" s="66">
        <v>42802.928032628108</v>
      </c>
      <c r="AV28" s="66">
        <v>42481.269635735523</v>
      </c>
      <c r="AW28" s="66">
        <v>42095.670277106001</v>
      </c>
      <c r="AX28" s="66">
        <v>41671.311185629478</v>
      </c>
      <c r="AY28" s="66">
        <v>41195.764475691882</v>
      </c>
      <c r="AZ28" s="66">
        <v>40701.869016992052</v>
      </c>
      <c r="BA28" s="66">
        <v>39605.156106537703</v>
      </c>
      <c r="BB28" s="66">
        <v>39025.932029555253</v>
      </c>
      <c r="BC28" s="66">
        <v>38335.642322954664</v>
      </c>
      <c r="BD28" s="66">
        <v>37843.911670585752</v>
      </c>
      <c r="BE28" s="66">
        <v>37356.910022291093</v>
      </c>
      <c r="BF28" s="66">
        <v>36761.819068634242</v>
      </c>
      <c r="BG28" s="66">
        <v>36081.342355540153</v>
      </c>
      <c r="BH28" s="66">
        <v>35436.323643043397</v>
      </c>
      <c r="BI28" s="66">
        <v>34821.722170855683</v>
      </c>
      <c r="BJ28" s="66">
        <v>34166.222363485656</v>
      </c>
      <c r="BK28" s="66">
        <v>33174.852834071768</v>
      </c>
      <c r="BL28" s="66"/>
      <c r="BM28" s="66"/>
      <c r="BN28" s="66"/>
      <c r="BO28" s="66"/>
      <c r="BP28" s="66"/>
      <c r="BQ28" s="66"/>
      <c r="BR28" s="66"/>
      <c r="BS28" s="66"/>
      <c r="BT28" s="66"/>
      <c r="BU28" s="66"/>
      <c r="BV28" s="66"/>
      <c r="BW28" s="66"/>
      <c r="BX28" s="66"/>
      <c r="BY28" s="66"/>
      <c r="BZ28" s="66"/>
      <c r="CA28" s="66"/>
      <c r="CB28" s="66"/>
      <c r="CC28" s="66"/>
      <c r="CD28" s="66"/>
      <c r="CE28" s="66"/>
      <c r="CF28" s="66"/>
      <c r="CG28" s="66"/>
      <c r="CH28" s="66"/>
      <c r="CI28" s="66"/>
      <c r="CJ28" s="66"/>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51688-589A-478B-8A5B-AB8FF1E885A0}">
  <sheetPr>
    <tabColor theme="6"/>
  </sheetPr>
  <dimension ref="A1:BL31"/>
  <sheetViews>
    <sheetView zoomScaleNormal="100" workbookViewId="0">
      <selection activeCell="B13" sqref="B13"/>
    </sheetView>
  </sheetViews>
  <sheetFormatPr defaultColWidth="9.140625" defaultRowHeight="15" x14ac:dyDescent="0.25"/>
  <cols>
    <col min="1" max="1" width="39.28515625" style="11" customWidth="1"/>
    <col min="2" max="2" width="10.7109375" style="11" bestFit="1" customWidth="1"/>
    <col min="3" max="62" width="10.5703125" style="11" bestFit="1" customWidth="1"/>
    <col min="63" max="16384" width="9.140625" style="11"/>
  </cols>
  <sheetData>
    <row r="1" spans="1:64" s="36" customFormat="1" ht="21" x14ac:dyDescent="0.35">
      <c r="A1" s="35" t="s">
        <v>113</v>
      </c>
    </row>
    <row r="2" spans="1:64" s="36" customFormat="1" x14ac:dyDescent="0.25">
      <c r="A2" s="37" t="s">
        <v>114</v>
      </c>
    </row>
    <row r="3" spans="1:64" s="36" customFormat="1" ht="18" x14ac:dyDescent="0.35">
      <c r="A3" s="36" t="s">
        <v>115</v>
      </c>
    </row>
    <row r="4" spans="1:64" s="36" customFormat="1" x14ac:dyDescent="0.25">
      <c r="A4" s="36" t="s">
        <v>116</v>
      </c>
      <c r="O4" s="38" t="s">
        <v>117</v>
      </c>
    </row>
    <row r="5" spans="1:64" s="36" customFormat="1" x14ac:dyDescent="0.25">
      <c r="A5" s="36" t="s">
        <v>118</v>
      </c>
      <c r="N5" s="38"/>
    </row>
    <row r="6" spans="1:64" s="36" customFormat="1" x14ac:dyDescent="0.25">
      <c r="A6" s="36" t="s">
        <v>119</v>
      </c>
    </row>
    <row r="7" spans="1:64" s="36" customFormat="1" x14ac:dyDescent="0.25">
      <c r="A7" s="36" t="s">
        <v>120</v>
      </c>
    </row>
    <row r="8" spans="1:64" s="36" customFormat="1" x14ac:dyDescent="0.25">
      <c r="A8" s="36" t="s">
        <v>121</v>
      </c>
    </row>
    <row r="9" spans="1:64" s="36" customFormat="1" x14ac:dyDescent="0.25">
      <c r="A9" s="36" t="s">
        <v>122</v>
      </c>
      <c r="J9" s="39" t="s">
        <v>123</v>
      </c>
    </row>
    <row r="10" spans="1:64" s="36" customFormat="1" x14ac:dyDescent="0.25"/>
    <row r="11" spans="1:64" s="36" customFormat="1" x14ac:dyDescent="0.25"/>
    <row r="12" spans="1:64" x14ac:dyDescent="0.25">
      <c r="A12" s="40" t="s">
        <v>8</v>
      </c>
      <c r="B12" s="41">
        <v>1990</v>
      </c>
      <c r="C12" s="41">
        <v>1991</v>
      </c>
      <c r="D12" s="41">
        <v>1992</v>
      </c>
      <c r="E12" s="41">
        <v>1993</v>
      </c>
      <c r="F12" s="41">
        <v>1994</v>
      </c>
      <c r="G12" s="41">
        <v>1995</v>
      </c>
      <c r="H12" s="41">
        <v>1996</v>
      </c>
      <c r="I12" s="41">
        <v>1997</v>
      </c>
      <c r="J12" s="41">
        <v>1998</v>
      </c>
      <c r="K12" s="41">
        <v>1999</v>
      </c>
      <c r="L12" s="41">
        <v>2000</v>
      </c>
      <c r="M12" s="41">
        <v>2001</v>
      </c>
      <c r="N12" s="41">
        <v>2002</v>
      </c>
      <c r="O12" s="41">
        <v>2003</v>
      </c>
      <c r="P12" s="41">
        <v>2004</v>
      </c>
      <c r="Q12" s="41">
        <v>2005</v>
      </c>
      <c r="R12" s="41">
        <v>2006</v>
      </c>
      <c r="S12" s="41">
        <v>2007</v>
      </c>
      <c r="T12" s="41">
        <v>2008</v>
      </c>
      <c r="U12" s="41">
        <v>2009</v>
      </c>
      <c r="V12" s="41">
        <v>2010</v>
      </c>
      <c r="W12" s="41">
        <v>2011</v>
      </c>
      <c r="X12" s="41">
        <v>2012</v>
      </c>
      <c r="Y12" s="41">
        <v>2013</v>
      </c>
      <c r="Z12" s="41">
        <v>2014</v>
      </c>
      <c r="AA12" s="41">
        <v>2015</v>
      </c>
      <c r="AB12" s="41">
        <v>2016</v>
      </c>
      <c r="AC12" s="41">
        <v>2017</v>
      </c>
      <c r="AD12" s="41">
        <v>2018</v>
      </c>
      <c r="AE12" s="41">
        <v>2019</v>
      </c>
      <c r="AF12" s="41">
        <v>2020</v>
      </c>
      <c r="AG12" s="41">
        <v>2021</v>
      </c>
      <c r="AH12" s="41">
        <v>2022</v>
      </c>
      <c r="AI12" s="41">
        <v>2023</v>
      </c>
      <c r="AJ12" s="41">
        <v>2024</v>
      </c>
      <c r="AK12" s="41">
        <v>2025</v>
      </c>
      <c r="AL12" s="41">
        <v>2026</v>
      </c>
      <c r="AM12" s="41">
        <v>2027</v>
      </c>
      <c r="AN12" s="41">
        <v>2028</v>
      </c>
      <c r="AO12" s="41">
        <v>2029</v>
      </c>
      <c r="AP12" s="41">
        <v>2030</v>
      </c>
      <c r="AQ12" s="41">
        <v>2031</v>
      </c>
      <c r="AR12" s="41">
        <v>2032</v>
      </c>
      <c r="AS12" s="41">
        <v>2033</v>
      </c>
      <c r="AT12" s="41">
        <v>2034</v>
      </c>
      <c r="AU12" s="41">
        <v>2035</v>
      </c>
      <c r="AV12" s="41">
        <v>2036</v>
      </c>
      <c r="AW12" s="41">
        <v>2037</v>
      </c>
      <c r="AX12" s="41">
        <v>2038</v>
      </c>
      <c r="AY12" s="41">
        <v>2039</v>
      </c>
      <c r="AZ12" s="41">
        <v>2040</v>
      </c>
      <c r="BA12" s="41">
        <v>2041</v>
      </c>
      <c r="BB12" s="41">
        <v>2042</v>
      </c>
      <c r="BC12" s="41">
        <v>2043</v>
      </c>
      <c r="BD12" s="41">
        <v>2044</v>
      </c>
      <c r="BE12" s="41">
        <v>2045</v>
      </c>
      <c r="BF12" s="41">
        <v>2046</v>
      </c>
      <c r="BG12" s="41">
        <v>2047</v>
      </c>
      <c r="BH12" s="41">
        <v>2048</v>
      </c>
      <c r="BI12" s="41">
        <v>2049</v>
      </c>
      <c r="BJ12" s="41">
        <v>2050</v>
      </c>
    </row>
    <row r="13" spans="1:64" x14ac:dyDescent="0.25">
      <c r="A13" s="42" t="s">
        <v>109</v>
      </c>
      <c r="B13" s="4">
        <v>63.590926524080409</v>
      </c>
      <c r="C13" s="4">
        <v>64.453521960972708</v>
      </c>
      <c r="D13" s="4">
        <v>65.668775124892306</v>
      </c>
      <c r="E13" s="4">
        <v>65.433403580588404</v>
      </c>
      <c r="F13" s="4">
        <v>66.67918216551729</v>
      </c>
      <c r="G13" s="4">
        <v>67.426240107162741</v>
      </c>
      <c r="H13" s="4">
        <v>69.549337110555655</v>
      </c>
      <c r="I13" s="4">
        <v>72.259275224995875</v>
      </c>
      <c r="J13" s="4">
        <v>70.221375713444942</v>
      </c>
      <c r="K13" s="4">
        <v>72.059932391739665</v>
      </c>
      <c r="L13" s="4">
        <v>74.103082180793436</v>
      </c>
      <c r="M13" s="4">
        <v>77.105363899831701</v>
      </c>
      <c r="N13" s="4">
        <v>77.474955843169923</v>
      </c>
      <c r="O13" s="4">
        <v>79.643612378002345</v>
      </c>
      <c r="P13" s="4">
        <v>79.294828929166911</v>
      </c>
      <c r="Q13" s="4">
        <v>81.274417557164213</v>
      </c>
      <c r="R13" s="4">
        <v>81.455211834860748</v>
      </c>
      <c r="S13" s="4">
        <v>79.41557505446201</v>
      </c>
      <c r="T13" s="4">
        <v>79.526331998013589</v>
      </c>
      <c r="U13" s="4">
        <v>76.771183483217499</v>
      </c>
      <c r="V13" s="4">
        <v>77.267807182308118</v>
      </c>
      <c r="W13" s="4">
        <v>76.975487393666086</v>
      </c>
      <c r="X13" s="4">
        <v>79.40157714838638</v>
      </c>
      <c r="Y13" s="4">
        <v>78.80491301626293</v>
      </c>
      <c r="Z13" s="4">
        <v>79.449842118199044</v>
      </c>
      <c r="AA13" s="4">
        <v>79.493714281608263</v>
      </c>
      <c r="AB13" s="4">
        <v>77.623307234296774</v>
      </c>
      <c r="AC13" s="4">
        <v>79.64086394894106</v>
      </c>
      <c r="AD13" s="4">
        <v>78.862288179606423</v>
      </c>
      <c r="AE13" s="4">
        <v>79.394488452251082</v>
      </c>
      <c r="AF13" s="4">
        <v>75.292538695015594</v>
      </c>
      <c r="AG13" s="4">
        <v>75.41634092625128</v>
      </c>
      <c r="AH13" s="4">
        <v>75.463081515018658</v>
      </c>
      <c r="AI13" s="4">
        <v>74.917754837868941</v>
      </c>
      <c r="AJ13" s="4">
        <v>75.029252973566273</v>
      </c>
      <c r="AK13" s="4">
        <v>73.496315817787476</v>
      </c>
      <c r="AL13" s="4">
        <v>73.277765266293756</v>
      </c>
      <c r="AM13" s="4">
        <v>72.868343259966466</v>
      </c>
      <c r="AN13" s="4">
        <v>72.575783958284759</v>
      </c>
      <c r="AO13" s="4">
        <v>72.391876266861956</v>
      </c>
      <c r="AP13" s="4">
        <v>71.429951840374486</v>
      </c>
      <c r="AQ13" s="4">
        <v>70.507997988848203</v>
      </c>
      <c r="AR13" s="4">
        <v>70.144890886434894</v>
      </c>
      <c r="AS13" s="4">
        <v>69.675237839861481</v>
      </c>
      <c r="AT13" s="4">
        <v>69.036227597767564</v>
      </c>
      <c r="AU13" s="4">
        <v>68.626678202024294</v>
      </c>
      <c r="AV13" s="4">
        <v>68.266933532730917</v>
      </c>
      <c r="AW13" s="4">
        <v>67.89103756918675</v>
      </c>
      <c r="AX13" s="4">
        <v>67.140642985374768</v>
      </c>
      <c r="AY13" s="4">
        <v>66.67079844936481</v>
      </c>
      <c r="AZ13" s="4">
        <v>66.406195272458902</v>
      </c>
      <c r="BA13" s="4">
        <v>66.085130864942172</v>
      </c>
      <c r="BB13" s="4">
        <v>65.894253558568849</v>
      </c>
      <c r="BC13" s="4">
        <v>65.585792690897563</v>
      </c>
      <c r="BD13" s="4">
        <v>65.266731214644452</v>
      </c>
      <c r="BE13" s="4">
        <v>64.783690563335114</v>
      </c>
      <c r="BF13" s="4">
        <v>64.383234509792501</v>
      </c>
      <c r="BG13" s="4">
        <v>64.209886885453045</v>
      </c>
      <c r="BH13" s="4">
        <v>63.911819488907781</v>
      </c>
      <c r="BI13" s="4">
        <v>63.588983001708634</v>
      </c>
      <c r="BJ13" s="4">
        <v>63.347493086388504</v>
      </c>
      <c r="BL13" s="43"/>
    </row>
    <row r="14" spans="1:64" x14ac:dyDescent="0.25">
      <c r="A14" s="42" t="s">
        <v>124</v>
      </c>
      <c r="B14" s="4">
        <v>35.293889522091263</v>
      </c>
      <c r="C14" s="4">
        <v>34.164319496196953</v>
      </c>
      <c r="D14" s="4">
        <v>35.25688210776962</v>
      </c>
      <c r="E14" s="4">
        <v>34.729258912697546</v>
      </c>
      <c r="F14" s="4">
        <v>36.342139359131977</v>
      </c>
      <c r="G14" s="4">
        <v>39.113075319062212</v>
      </c>
      <c r="H14" s="4">
        <v>42.082585126408027</v>
      </c>
      <c r="I14" s="4">
        <v>44.58440258538846</v>
      </c>
      <c r="J14" s="4">
        <v>42.422768773106675</v>
      </c>
      <c r="K14" s="4">
        <v>42.748617738977927</v>
      </c>
      <c r="L14" s="4">
        <v>45.989572139461238</v>
      </c>
      <c r="M14" s="4">
        <v>49.160509704543429</v>
      </c>
      <c r="N14" s="4">
        <v>52.158789273445002</v>
      </c>
      <c r="O14" s="4">
        <v>53.26212151900863</v>
      </c>
      <c r="P14" s="4">
        <v>53.068805450404611</v>
      </c>
      <c r="Q14" s="4">
        <v>55.945739804319977</v>
      </c>
      <c r="R14" s="4">
        <v>58.151499093645711</v>
      </c>
      <c r="S14" s="4">
        <v>57.523645207300774</v>
      </c>
      <c r="T14" s="4">
        <v>50.469793778543057</v>
      </c>
      <c r="U14" s="4">
        <v>49.274976384370113</v>
      </c>
      <c r="V14" s="4">
        <v>49.360379217047978</v>
      </c>
      <c r="W14" s="4">
        <v>53.629588281390461</v>
      </c>
      <c r="X14" s="4">
        <v>57.018050314043421</v>
      </c>
      <c r="Y14" s="4">
        <v>58.688937262214274</v>
      </c>
      <c r="Z14" s="4">
        <v>57.122649185449902</v>
      </c>
      <c r="AA14" s="4">
        <v>56.306425051461574</v>
      </c>
      <c r="AB14" s="4">
        <v>55.089006007108544</v>
      </c>
      <c r="AC14" s="4">
        <v>56.930754753795675</v>
      </c>
      <c r="AD14" s="4">
        <v>55.46821596475948</v>
      </c>
      <c r="AE14" s="4">
        <v>57.889298993494556</v>
      </c>
      <c r="AF14" s="4">
        <v>58.454207095763913</v>
      </c>
      <c r="AG14" s="4">
        <v>62.156399998109904</v>
      </c>
      <c r="AH14" s="4">
        <v>64.701082782859203</v>
      </c>
      <c r="AI14" s="4">
        <v>60.273324001725385</v>
      </c>
      <c r="AJ14" s="4">
        <v>61.49176888141519</v>
      </c>
      <c r="AK14" s="4">
        <v>61.933399876187472</v>
      </c>
      <c r="AL14" s="4">
        <v>65.578684671241575</v>
      </c>
      <c r="AM14" s="4">
        <v>65.736466971983873</v>
      </c>
      <c r="AN14" s="4">
        <v>65.108766777399211</v>
      </c>
      <c r="AO14" s="4">
        <v>65.6484657105933</v>
      </c>
      <c r="AP14" s="4">
        <v>64.702187359590653</v>
      </c>
      <c r="AQ14" s="4">
        <v>63.396967143603739</v>
      </c>
      <c r="AR14" s="4">
        <v>62.723443291953011</v>
      </c>
      <c r="AS14" s="4">
        <v>61.641981992870164</v>
      </c>
      <c r="AT14" s="4">
        <v>60.615212523942411</v>
      </c>
      <c r="AU14" s="4">
        <v>57.959174932395157</v>
      </c>
      <c r="AV14" s="4">
        <v>55.471708055756004</v>
      </c>
      <c r="AW14" s="4">
        <v>50.38481738171707</v>
      </c>
      <c r="AX14" s="4">
        <v>46.331033330103331</v>
      </c>
      <c r="AY14" s="4">
        <v>40.630118751356093</v>
      </c>
      <c r="AZ14" s="4">
        <v>37.929632746800102</v>
      </c>
      <c r="BA14" s="4">
        <v>34.057983390722455</v>
      </c>
      <c r="BB14" s="4">
        <v>33.797535202445033</v>
      </c>
      <c r="BC14" s="4">
        <v>30.850817929009754</v>
      </c>
      <c r="BD14" s="4">
        <v>28.885740896326254</v>
      </c>
      <c r="BE14" s="4">
        <v>29.564798758121771</v>
      </c>
      <c r="BF14" s="4">
        <v>28.193023813243602</v>
      </c>
      <c r="BG14" s="4">
        <v>27.428665336315781</v>
      </c>
      <c r="BH14" s="4">
        <v>22.024514014349997</v>
      </c>
      <c r="BI14" s="4">
        <v>21.047566073540597</v>
      </c>
      <c r="BJ14" s="4">
        <v>23.818956409962979</v>
      </c>
      <c r="BL14" s="43"/>
    </row>
    <row r="15" spans="1:64" x14ac:dyDescent="0.25">
      <c r="A15" s="42" t="s">
        <v>125</v>
      </c>
      <c r="B15" s="4"/>
      <c r="C15" s="4"/>
      <c r="D15" s="4"/>
      <c r="E15" s="4"/>
      <c r="F15" s="4"/>
      <c r="G15" s="4"/>
      <c r="H15" s="4"/>
      <c r="I15" s="4"/>
      <c r="J15" s="4"/>
      <c r="K15" s="4"/>
      <c r="L15" s="4"/>
      <c r="M15" s="4"/>
      <c r="N15" s="4"/>
      <c r="O15" s="4"/>
      <c r="P15" s="4"/>
      <c r="Q15" s="4"/>
      <c r="R15" s="4"/>
      <c r="S15" s="4"/>
      <c r="T15" s="4">
        <v>65.793741808639069</v>
      </c>
      <c r="U15" s="4">
        <v>64.985813905534343</v>
      </c>
      <c r="V15" s="4">
        <v>66.399511675677061</v>
      </c>
      <c r="W15" s="4">
        <v>64.740307270421837</v>
      </c>
      <c r="X15" s="4">
        <v>68.53637958682171</v>
      </c>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row>
    <row r="16" spans="1:64" x14ac:dyDescent="0.25">
      <c r="A16" s="42" t="s">
        <v>139</v>
      </c>
      <c r="B16" s="4"/>
      <c r="C16" s="4"/>
      <c r="D16" s="4"/>
      <c r="E16" s="4"/>
      <c r="F16" s="4"/>
      <c r="G16" s="4"/>
      <c r="H16" s="4"/>
      <c r="I16" s="4"/>
      <c r="J16" s="4"/>
      <c r="K16" s="4"/>
      <c r="L16" s="4"/>
      <c r="M16" s="4"/>
      <c r="N16" s="4"/>
      <c r="O16" s="4"/>
      <c r="P16" s="4"/>
      <c r="Q16" s="4"/>
      <c r="R16" s="4"/>
      <c r="S16" s="4"/>
      <c r="T16" s="4">
        <f>T15-T13</f>
        <v>-13.73259018937452</v>
      </c>
      <c r="U16" s="4">
        <f t="shared" ref="U16:X16" si="0">U15-U13</f>
        <v>-11.785369577683156</v>
      </c>
      <c r="V16" s="4">
        <f t="shared" si="0"/>
        <v>-10.868295506631057</v>
      </c>
      <c r="W16" s="4">
        <f t="shared" si="0"/>
        <v>-12.235180123244248</v>
      </c>
      <c r="X16" s="4">
        <f t="shared" si="0"/>
        <v>-10.865197561564671</v>
      </c>
      <c r="Y16" s="4">
        <f>Y17-Y13</f>
        <v>-8.0201272368385474</v>
      </c>
      <c r="Z16" s="4">
        <f t="shared" ref="Z16:AE16" si="1">Z17-Z13</f>
        <v>-12.160581042906713</v>
      </c>
      <c r="AA16" s="4">
        <f t="shared" si="1"/>
        <v>-14.430048032638638</v>
      </c>
      <c r="AB16" s="4">
        <f t="shared" si="1"/>
        <v>-15.972173703581475</v>
      </c>
      <c r="AC16" s="4">
        <f t="shared" si="1"/>
        <v>-15.816693431917713</v>
      </c>
      <c r="AD16" s="4">
        <f t="shared" si="1"/>
        <v>-15.450661407643501</v>
      </c>
      <c r="AE16" s="4">
        <f t="shared" si="1"/>
        <v>-13.520081206916146</v>
      </c>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row>
    <row r="17" spans="1:63" x14ac:dyDescent="0.25">
      <c r="A17" s="42" t="s">
        <v>126</v>
      </c>
      <c r="B17" s="4"/>
      <c r="C17" s="4"/>
      <c r="D17" s="4"/>
      <c r="E17" s="4"/>
      <c r="F17" s="4"/>
      <c r="G17" s="4"/>
      <c r="H17" s="4"/>
      <c r="I17" s="4"/>
      <c r="J17" s="4"/>
      <c r="K17" s="4"/>
      <c r="L17" s="4"/>
      <c r="M17" s="4"/>
      <c r="N17" s="4"/>
      <c r="O17" s="4"/>
      <c r="P17" s="4"/>
      <c r="Q17" s="4"/>
      <c r="R17" s="4"/>
      <c r="S17" s="4"/>
      <c r="T17" s="4"/>
      <c r="U17" s="4"/>
      <c r="V17" s="4"/>
      <c r="W17" s="4"/>
      <c r="X17" s="4">
        <v>68.53637958682171</v>
      </c>
      <c r="Y17" s="4">
        <v>70.784785779424382</v>
      </c>
      <c r="Z17" s="4">
        <v>67.28926107529233</v>
      </c>
      <c r="AA17" s="4">
        <v>65.063666248969625</v>
      </c>
      <c r="AB17" s="4">
        <v>61.651133530715299</v>
      </c>
      <c r="AC17" s="4">
        <v>63.824170517023347</v>
      </c>
      <c r="AD17" s="4">
        <v>63.411626771962922</v>
      </c>
      <c r="AE17" s="4">
        <v>65.874407245334936</v>
      </c>
      <c r="AF17" s="4">
        <v>62.667883407007821</v>
      </c>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row>
    <row r="18" spans="1:63" x14ac:dyDescent="0.25">
      <c r="A18" s="42" t="s">
        <v>127</v>
      </c>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v>68.919092923189254</v>
      </c>
      <c r="AH18" s="4">
        <v>69.282499931525848</v>
      </c>
      <c r="AI18" s="4">
        <v>69.097133409773505</v>
      </c>
      <c r="AJ18" s="4">
        <v>69.113383720706693</v>
      </c>
      <c r="AK18" s="4">
        <v>67.243914512417263</v>
      </c>
      <c r="AL18" s="4">
        <v>66.328194055196391</v>
      </c>
      <c r="AM18" s="4">
        <v>65.093925032458714</v>
      </c>
      <c r="AN18" s="4">
        <v>63.940372789715688</v>
      </c>
      <c r="AO18" s="4">
        <v>62.968327806298475</v>
      </c>
      <c r="AP18" s="4">
        <v>61.333365440623453</v>
      </c>
      <c r="AQ18" s="4"/>
      <c r="AR18" s="4"/>
      <c r="AS18" s="4"/>
      <c r="AT18" s="4"/>
      <c r="AU18" s="4"/>
      <c r="AV18" s="4"/>
      <c r="AW18" s="4"/>
      <c r="AX18" s="4"/>
      <c r="AY18" s="4"/>
      <c r="AZ18" s="4"/>
      <c r="BA18" s="4"/>
      <c r="BB18" s="4"/>
      <c r="BC18" s="4"/>
      <c r="BD18" s="4"/>
      <c r="BE18" s="4"/>
      <c r="BF18" s="4"/>
      <c r="BG18" s="4"/>
      <c r="BH18" s="4"/>
      <c r="BI18" s="4"/>
      <c r="BJ18" s="4"/>
    </row>
    <row r="19" spans="1:63" x14ac:dyDescent="0.25">
      <c r="A19" s="42" t="s">
        <v>128</v>
      </c>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v>61.333365440623453</v>
      </c>
      <c r="AQ19" s="4">
        <v>59.816954037887484</v>
      </c>
      <c r="AR19" s="4">
        <v>58.872688928932249</v>
      </c>
      <c r="AS19" s="4">
        <v>58.028088747257058</v>
      </c>
      <c r="AT19" s="4">
        <v>56.888934801730066</v>
      </c>
      <c r="AU19" s="4">
        <v>55.532879416949271</v>
      </c>
      <c r="AV19" s="4">
        <v>54.150040095026768</v>
      </c>
      <c r="AW19" s="4">
        <v>52.118521191403516</v>
      </c>
      <c r="AX19" s="4">
        <v>50.277350278721762</v>
      </c>
      <c r="AY19" s="4">
        <v>48.711047668611684</v>
      </c>
      <c r="AZ19" s="4">
        <v>47.638355979407024</v>
      </c>
      <c r="BA19" s="4">
        <v>46.605276086672156</v>
      </c>
      <c r="BB19" s="4">
        <v>45.990882926800417</v>
      </c>
      <c r="BC19" s="4">
        <v>45.280040845017048</v>
      </c>
      <c r="BD19" s="4">
        <v>44.547643353325149</v>
      </c>
      <c r="BE19" s="4">
        <v>43.538565860189671</v>
      </c>
      <c r="BF19" s="4">
        <v>42.573405330551715</v>
      </c>
      <c r="BG19" s="4">
        <v>41.847145067320795</v>
      </c>
      <c r="BH19" s="4">
        <v>41.01883177169951</v>
      </c>
      <c r="BI19" s="4">
        <v>40.173850750720376</v>
      </c>
      <c r="BJ19" s="4">
        <v>39.378247680022568</v>
      </c>
    </row>
    <row r="20" spans="1:63" x14ac:dyDescent="0.25">
      <c r="A20" s="42" t="s">
        <v>129</v>
      </c>
      <c r="B20" s="4"/>
      <c r="C20" s="4"/>
      <c r="D20" s="4"/>
      <c r="E20" s="4"/>
      <c r="F20" s="4"/>
      <c r="G20" s="4"/>
      <c r="H20" s="4"/>
      <c r="I20" s="4"/>
      <c r="J20" s="4"/>
      <c r="K20" s="4"/>
      <c r="L20" s="4"/>
      <c r="M20" s="4"/>
      <c r="N20" s="4"/>
      <c r="O20" s="4"/>
      <c r="P20" s="4"/>
      <c r="Q20" s="4"/>
      <c r="R20" s="4"/>
      <c r="S20" s="4"/>
      <c r="T20" s="4">
        <v>66.45</v>
      </c>
      <c r="U20" s="4">
        <v>66.45</v>
      </c>
      <c r="V20" s="4">
        <v>66.45</v>
      </c>
      <c r="W20" s="4">
        <v>66.45</v>
      </c>
      <c r="X20" s="4">
        <v>66.45</v>
      </c>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row>
    <row r="21" spans="1:63" x14ac:dyDescent="0.25">
      <c r="A21" s="42" t="s">
        <v>130</v>
      </c>
      <c r="B21" s="4"/>
      <c r="C21" s="4"/>
      <c r="D21" s="4"/>
      <c r="E21" s="4"/>
      <c r="F21" s="4"/>
      <c r="G21" s="4"/>
      <c r="H21" s="4"/>
      <c r="I21" s="4"/>
      <c r="J21" s="4"/>
      <c r="K21" s="4"/>
      <c r="L21" s="4"/>
      <c r="M21" s="4"/>
      <c r="N21" s="4"/>
      <c r="O21" s="4"/>
      <c r="P21" s="4"/>
      <c r="Q21" s="4"/>
      <c r="R21" s="4"/>
      <c r="S21" s="4"/>
      <c r="T21" s="4"/>
      <c r="U21" s="4"/>
      <c r="V21" s="4"/>
      <c r="W21" s="4"/>
      <c r="X21" s="4"/>
      <c r="Y21" s="4">
        <v>63.725000000000001</v>
      </c>
      <c r="Z21" s="4">
        <v>63.725000000000001</v>
      </c>
      <c r="AA21" s="4">
        <v>63.725000000000001</v>
      </c>
      <c r="AB21" s="4">
        <v>63.725000000000001</v>
      </c>
      <c r="AC21" s="4">
        <v>63.725000000000001</v>
      </c>
      <c r="AD21" s="4">
        <v>63.725000000000001</v>
      </c>
      <c r="AE21" s="4">
        <v>63.725000000000001</v>
      </c>
      <c r="AF21" s="4">
        <v>63.725000000000001</v>
      </c>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row>
    <row r="22" spans="1:63" x14ac:dyDescent="0.25">
      <c r="A22" s="42" t="s">
        <v>131</v>
      </c>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v>60.1</v>
      </c>
      <c r="AH22" s="4">
        <v>60.1</v>
      </c>
      <c r="AI22" s="4">
        <v>60.1</v>
      </c>
      <c r="AJ22" s="4">
        <v>60.1</v>
      </c>
      <c r="AK22" s="4">
        <v>60.1</v>
      </c>
      <c r="AL22" s="4">
        <v>60.1</v>
      </c>
      <c r="AM22" s="4">
        <v>60.1</v>
      </c>
      <c r="AN22" s="4">
        <v>60.1</v>
      </c>
      <c r="AO22" s="4">
        <v>60.1</v>
      </c>
      <c r="AP22" s="4">
        <v>60.1</v>
      </c>
      <c r="AQ22" s="4"/>
      <c r="AR22" s="4"/>
      <c r="AS22" s="4"/>
      <c r="AT22" s="4"/>
      <c r="AU22" s="4"/>
      <c r="AV22" s="4"/>
      <c r="AW22" s="4"/>
      <c r="AX22" s="4"/>
      <c r="AY22" s="4"/>
      <c r="AZ22" s="4"/>
      <c r="BA22" s="4"/>
      <c r="BB22" s="4"/>
      <c r="BC22" s="4"/>
      <c r="BD22" s="4"/>
      <c r="BE22" s="4"/>
      <c r="BF22" s="4"/>
      <c r="BG22" s="4"/>
      <c r="BH22" s="4"/>
      <c r="BI22" s="4"/>
      <c r="BJ22" s="4"/>
    </row>
    <row r="23" spans="1:63" x14ac:dyDescent="0.25">
      <c r="A23" s="42" t="s">
        <v>132</v>
      </c>
      <c r="B23" s="4"/>
      <c r="C23" s="4"/>
      <c r="D23" s="4"/>
      <c r="E23" s="4"/>
      <c r="F23" s="4"/>
      <c r="G23" s="4"/>
      <c r="H23" s="4"/>
      <c r="I23" s="4"/>
      <c r="J23" s="4"/>
      <c r="K23" s="4"/>
      <c r="L23" s="4"/>
      <c r="M23" s="4"/>
      <c r="N23" s="4"/>
      <c r="O23" s="4"/>
      <c r="P23" s="4"/>
      <c r="Q23" s="4"/>
      <c r="R23" s="4"/>
      <c r="S23" s="4"/>
      <c r="T23" s="4"/>
      <c r="U23" s="4"/>
      <c r="V23" s="4"/>
      <c r="W23" s="4"/>
      <c r="X23" s="4"/>
      <c r="Y23" s="4"/>
      <c r="Z23" s="4"/>
      <c r="AA23" s="4"/>
      <c r="AB23" s="4"/>
      <c r="AD23" s="4">
        <v>45</v>
      </c>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row>
    <row r="24" spans="1:63" x14ac:dyDescent="0.25">
      <c r="A24" s="42" t="s">
        <v>133</v>
      </c>
      <c r="B24" s="4"/>
      <c r="C24" s="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
      <c r="BJ24" s="4">
        <v>0</v>
      </c>
      <c r="BK24" s="1"/>
    </row>
    <row r="25" spans="1:63" x14ac:dyDescent="0.25">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v>17.560503948615324</v>
      </c>
    </row>
    <row r="26" spans="1:63" x14ac:dyDescent="0.25">
      <c r="A26" s="11" t="s">
        <v>134</v>
      </c>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v>7.6205960531726902</v>
      </c>
    </row>
    <row r="27" spans="1:63" x14ac:dyDescent="0.25">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row>
    <row r="28" spans="1:63" x14ac:dyDescent="0.25">
      <c r="A28" s="45" t="s">
        <v>135</v>
      </c>
      <c r="B28" s="46"/>
      <c r="C28" s="46"/>
    </row>
    <row r="29" spans="1:63" x14ac:dyDescent="0.25">
      <c r="A29" s="46" t="s">
        <v>136</v>
      </c>
      <c r="B29" s="47">
        <v>33.133026318142122</v>
      </c>
      <c r="C29" s="47"/>
    </row>
    <row r="30" spans="1:63" x14ac:dyDescent="0.25">
      <c r="A30" s="46" t="s">
        <v>137</v>
      </c>
      <c r="B30" s="47">
        <f>B29*(1-0.24)</f>
        <v>25.181100001788014</v>
      </c>
      <c r="C30" s="47">
        <f>B30-B31</f>
        <v>7.6205960531726902</v>
      </c>
    </row>
    <row r="31" spans="1:63" x14ac:dyDescent="0.25">
      <c r="A31" s="46" t="s">
        <v>138</v>
      </c>
      <c r="B31" s="47">
        <f>B29*(1-0.47)</f>
        <v>17.560503948615324</v>
      </c>
      <c r="C31" s="47"/>
    </row>
  </sheetData>
  <hyperlinks>
    <hyperlink ref="O4" r:id="rId1" xr:uid="{5E4D746E-1488-47B8-BA4D-08D257F83491}"/>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6786E-11CC-4670-A592-65FFBDDEB95A}">
  <sheetPr>
    <tabColor theme="6"/>
  </sheetPr>
  <dimension ref="A1:N20"/>
  <sheetViews>
    <sheetView workbookViewId="0">
      <selection activeCell="I24" sqref="I24"/>
    </sheetView>
  </sheetViews>
  <sheetFormatPr defaultRowHeight="15" x14ac:dyDescent="0.25"/>
  <cols>
    <col min="4" max="4" width="16" customWidth="1"/>
    <col min="5" max="5" width="14" bestFit="1" customWidth="1"/>
  </cols>
  <sheetData>
    <row r="1" spans="1:14" x14ac:dyDescent="0.25">
      <c r="A1" s="17"/>
      <c r="B1" s="17" t="s">
        <v>26</v>
      </c>
      <c r="C1" s="17"/>
      <c r="D1" s="17" t="s">
        <v>17</v>
      </c>
      <c r="E1" s="17"/>
      <c r="F1" s="17"/>
    </row>
    <row r="2" spans="1:14" x14ac:dyDescent="0.25">
      <c r="A2" s="17"/>
      <c r="B2" s="17"/>
      <c r="C2" s="17"/>
      <c r="D2" s="17" t="s">
        <v>79</v>
      </c>
      <c r="E2" s="17" t="s">
        <v>80</v>
      </c>
      <c r="F2" s="17"/>
    </row>
    <row r="3" spans="1:14" x14ac:dyDescent="0.25">
      <c r="A3" s="17" t="s">
        <v>0</v>
      </c>
      <c r="B3" s="17" t="s">
        <v>18</v>
      </c>
      <c r="C3" s="17"/>
      <c r="D3" s="17">
        <v>-58</v>
      </c>
      <c r="E3" s="17">
        <v>-40</v>
      </c>
      <c r="F3" s="17"/>
    </row>
    <row r="4" spans="1:14" x14ac:dyDescent="0.25">
      <c r="A4" s="17"/>
      <c r="B4" s="17" t="s">
        <v>19</v>
      </c>
      <c r="C4" s="17"/>
      <c r="D4" s="17">
        <v>-107</v>
      </c>
      <c r="E4" s="17">
        <v>-94</v>
      </c>
      <c r="F4" s="17"/>
    </row>
    <row r="5" spans="1:14" x14ac:dyDescent="0.25">
      <c r="A5" s="17" t="s">
        <v>20</v>
      </c>
      <c r="B5" s="17" t="s">
        <v>18</v>
      </c>
      <c r="C5" s="17"/>
      <c r="D5" s="17">
        <v>-30</v>
      </c>
      <c r="E5" s="21">
        <v>-11</v>
      </c>
      <c r="F5" s="17"/>
    </row>
    <row r="6" spans="1:14" x14ac:dyDescent="0.25">
      <c r="A6" s="17"/>
      <c r="B6" s="17" t="s">
        <v>19</v>
      </c>
      <c r="C6" s="17"/>
      <c r="D6" s="18">
        <v>-47</v>
      </c>
      <c r="E6" s="22">
        <v>-24</v>
      </c>
      <c r="F6" s="17"/>
    </row>
    <row r="7" spans="1:14" x14ac:dyDescent="0.25">
      <c r="A7" s="17" t="s">
        <v>21</v>
      </c>
      <c r="B7" s="17" t="s">
        <v>18</v>
      </c>
      <c r="C7" s="17"/>
      <c r="D7" s="17">
        <v>-21</v>
      </c>
      <c r="E7" s="21">
        <v>3</v>
      </c>
      <c r="F7" s="17"/>
    </row>
    <row r="8" spans="1:14" x14ac:dyDescent="0.25">
      <c r="A8" s="17"/>
      <c r="B8" s="17" t="s">
        <v>19</v>
      </c>
      <c r="C8" s="17"/>
      <c r="D8" s="17">
        <v>-26</v>
      </c>
      <c r="E8" s="21">
        <v>1</v>
      </c>
      <c r="F8" s="17"/>
    </row>
    <row r="9" spans="1:14" x14ac:dyDescent="0.25">
      <c r="A9" t="s">
        <v>9</v>
      </c>
      <c r="B9" s="17" t="s">
        <v>18</v>
      </c>
      <c r="D9">
        <v>-77</v>
      </c>
      <c r="E9">
        <v>-65</v>
      </c>
      <c r="F9" s="17"/>
    </row>
    <row r="10" spans="1:14" x14ac:dyDescent="0.25">
      <c r="A10" s="17"/>
      <c r="B10" s="17" t="s">
        <v>19</v>
      </c>
      <c r="C10" s="17"/>
      <c r="D10" s="17">
        <v>-90</v>
      </c>
      <c r="E10" s="17">
        <v>-78</v>
      </c>
      <c r="F10" s="17"/>
    </row>
    <row r="11" spans="1:14" x14ac:dyDescent="0.25">
      <c r="A11" s="17" t="s">
        <v>10</v>
      </c>
      <c r="B11" s="17" t="s">
        <v>18</v>
      </c>
      <c r="C11" s="17"/>
      <c r="D11" s="17">
        <v>-70</v>
      </c>
      <c r="E11" s="17">
        <v>-59</v>
      </c>
      <c r="F11" s="17"/>
      <c r="J11" s="11"/>
      <c r="N11" s="11"/>
    </row>
    <row r="12" spans="1:14" x14ac:dyDescent="0.25">
      <c r="A12" s="17"/>
      <c r="B12" s="17" t="s">
        <v>19</v>
      </c>
      <c r="C12" s="17"/>
      <c r="D12">
        <v>-94</v>
      </c>
      <c r="E12">
        <v>-83</v>
      </c>
      <c r="F12" s="17"/>
      <c r="I12" s="11"/>
      <c r="J12" s="11"/>
      <c r="M12" s="11"/>
      <c r="N12" s="11"/>
    </row>
    <row r="13" spans="1:14" x14ac:dyDescent="0.25">
      <c r="A13" s="17" t="s">
        <v>75</v>
      </c>
      <c r="B13" s="17" t="s">
        <v>18</v>
      </c>
      <c r="C13" s="17"/>
      <c r="D13">
        <v>-67</v>
      </c>
      <c r="E13">
        <v>-49</v>
      </c>
      <c r="F13" s="17"/>
      <c r="I13" s="11"/>
      <c r="J13" s="11"/>
      <c r="M13" s="11"/>
      <c r="N13" s="11"/>
    </row>
    <row r="14" spans="1:14" x14ac:dyDescent="0.25">
      <c r="B14" s="17" t="s">
        <v>19</v>
      </c>
      <c r="D14">
        <v>-80</v>
      </c>
      <c r="E14">
        <v>-74</v>
      </c>
      <c r="I14" s="11"/>
      <c r="J14" s="11"/>
      <c r="M14" s="11"/>
      <c r="N14" s="11"/>
    </row>
    <row r="15" spans="1:14" x14ac:dyDescent="0.25">
      <c r="I15" s="11"/>
      <c r="J15" s="11"/>
      <c r="M15" s="11"/>
      <c r="N15" s="11"/>
    </row>
    <row r="16" spans="1:14" x14ac:dyDescent="0.25">
      <c r="A16" t="s">
        <v>82</v>
      </c>
      <c r="I16" s="11"/>
      <c r="J16" s="11"/>
      <c r="M16" s="11"/>
      <c r="N16" s="11"/>
    </row>
    <row r="17" spans="1:14" x14ac:dyDescent="0.25">
      <c r="A17" s="23" t="s">
        <v>81</v>
      </c>
      <c r="I17" s="11"/>
      <c r="J17" s="11"/>
      <c r="M17" s="11"/>
      <c r="N17" s="11"/>
    </row>
    <row r="18" spans="1:14" x14ac:dyDescent="0.25">
      <c r="A18" t="s">
        <v>101</v>
      </c>
      <c r="I18" s="11"/>
      <c r="J18" s="11"/>
      <c r="M18" s="11"/>
      <c r="N18" s="11"/>
    </row>
    <row r="19" spans="1:14" x14ac:dyDescent="0.25">
      <c r="I19" s="11"/>
      <c r="J19" s="11"/>
      <c r="M19" s="11"/>
      <c r="N19" s="11"/>
    </row>
    <row r="20" spans="1:14" x14ac:dyDescent="0.25">
      <c r="I20" s="11"/>
      <c r="J20" s="11"/>
      <c r="M20" s="11"/>
      <c r="N20" s="11"/>
    </row>
  </sheetData>
  <hyperlinks>
    <hyperlink ref="A17" r:id="rId1" location="/workspaces" xr:uid="{0624B5C7-9A41-4F50-B53D-A173A34D94ED}"/>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0807A-3123-4131-ADC1-03B753777BA6}">
  <sheetPr>
    <tabColor rgb="FFA5A5A5"/>
  </sheetPr>
  <dimension ref="A1:Q34"/>
  <sheetViews>
    <sheetView zoomScaleNormal="100" workbookViewId="0">
      <selection activeCell="N29" sqref="N29"/>
    </sheetView>
  </sheetViews>
  <sheetFormatPr defaultColWidth="9.140625" defaultRowHeight="15" x14ac:dyDescent="0.25"/>
  <cols>
    <col min="1" max="1" width="9.140625" style="11"/>
    <col min="2" max="7" width="14.28515625" style="11" customWidth="1"/>
    <col min="8" max="10" width="9.85546875" style="11" customWidth="1"/>
    <col min="11" max="12" width="14.28515625" style="11" customWidth="1"/>
    <col min="13" max="13" width="18.140625" style="11" bestFit="1" customWidth="1"/>
    <col min="14" max="21" width="9.140625" style="11"/>
    <col min="22" max="22" width="12.7109375" style="11" bestFit="1" customWidth="1"/>
    <col min="23" max="16384" width="9.140625" style="11"/>
  </cols>
  <sheetData>
    <row r="1" spans="1:17" ht="33.6" customHeight="1" x14ac:dyDescent="0.25">
      <c r="A1" s="152" t="s">
        <v>77</v>
      </c>
      <c r="B1" s="153"/>
      <c r="C1" s="153"/>
      <c r="D1" s="153"/>
      <c r="E1" s="153"/>
      <c r="F1" s="153"/>
      <c r="G1" s="153"/>
      <c r="H1" s="153"/>
      <c r="I1" s="153"/>
      <c r="J1" s="153"/>
      <c r="K1" s="153"/>
      <c r="L1" s="153"/>
    </row>
    <row r="2" spans="1:17" ht="39" x14ac:dyDescent="0.25">
      <c r="A2" s="12" t="s">
        <v>8</v>
      </c>
      <c r="B2" s="13" t="s">
        <v>33</v>
      </c>
      <c r="C2" s="14" t="s">
        <v>34</v>
      </c>
      <c r="D2" s="14" t="s">
        <v>35</v>
      </c>
      <c r="E2" s="14" t="s">
        <v>36</v>
      </c>
      <c r="F2" s="14" t="s">
        <v>37</v>
      </c>
      <c r="G2" s="14" t="s">
        <v>38</v>
      </c>
      <c r="H2" s="14" t="s">
        <v>9</v>
      </c>
      <c r="I2" s="14" t="s">
        <v>10</v>
      </c>
      <c r="J2" s="14" t="s">
        <v>39</v>
      </c>
      <c r="K2" s="14" t="s">
        <v>40</v>
      </c>
      <c r="L2" s="14" t="s">
        <v>41</v>
      </c>
      <c r="O2" s="75"/>
    </row>
    <row r="3" spans="1:17" x14ac:dyDescent="0.25">
      <c r="A3" s="15" t="s">
        <v>42</v>
      </c>
      <c r="B3" s="10">
        <v>25649.309105770299</v>
      </c>
      <c r="C3" s="10">
        <v>1327.31944965761</v>
      </c>
      <c r="D3" s="10">
        <v>32795.284477219553</v>
      </c>
      <c r="E3" s="10">
        <v>32888.796442722771</v>
      </c>
      <c r="F3" s="10">
        <v>5754.7107843790409</v>
      </c>
      <c r="G3" s="10">
        <v>5968.7357345906776</v>
      </c>
      <c r="H3" s="10">
        <v>0</v>
      </c>
      <c r="I3" s="10">
        <v>909.9493480000001</v>
      </c>
      <c r="J3" s="10">
        <v>19.972799999999999</v>
      </c>
      <c r="K3" s="10">
        <v>41114.773774971058</v>
      </c>
      <c r="L3" s="10">
        <v>65129.226515368893</v>
      </c>
      <c r="M3" s="2"/>
      <c r="N3" s="20"/>
      <c r="O3" s="75"/>
      <c r="Q3" s="75"/>
    </row>
    <row r="4" spans="1:17" x14ac:dyDescent="0.25">
      <c r="A4" s="15" t="s">
        <v>43</v>
      </c>
      <c r="B4" s="10">
        <v>26332.7697403198</v>
      </c>
      <c r="C4" s="10">
        <v>217.8780946315089</v>
      </c>
      <c r="D4" s="10">
        <v>32924.908944709969</v>
      </c>
      <c r="E4" s="10">
        <v>33002.710626721309</v>
      </c>
      <c r="F4" s="10">
        <v>5823.0064176315282</v>
      </c>
      <c r="G4" s="10">
        <v>6031.5076175121712</v>
      </c>
      <c r="H4" s="10">
        <v>0</v>
      </c>
      <c r="I4" s="10">
        <v>903.78987199999995</v>
      </c>
      <c r="J4" s="10">
        <v>20.862000000000002</v>
      </c>
      <c r="K4" s="10">
        <v>40176.748210864993</v>
      </c>
      <c r="L4" s="10">
        <v>66005.336974661288</v>
      </c>
      <c r="M4" s="2"/>
      <c r="N4" s="20"/>
      <c r="Q4" s="75"/>
    </row>
    <row r="5" spans="1:17" x14ac:dyDescent="0.25">
      <c r="A5" s="15" t="s">
        <v>44</v>
      </c>
      <c r="B5" s="10">
        <v>28274.938118667567</v>
      </c>
      <c r="C5" s="10">
        <v>2451.1970220137191</v>
      </c>
      <c r="D5" s="10">
        <v>32544.677181644191</v>
      </c>
      <c r="E5" s="10">
        <v>32623.374842051304</v>
      </c>
      <c r="F5" s="10">
        <v>5849.799365591135</v>
      </c>
      <c r="G5" s="10">
        <v>6060.4023926746868</v>
      </c>
      <c r="H5" s="10">
        <v>0.28599999999999998</v>
      </c>
      <c r="I5" s="10">
        <v>461.87900000000002</v>
      </c>
      <c r="J5" s="10">
        <v>21.905100000000001</v>
      </c>
      <c r="K5" s="10">
        <v>41619.044356739709</v>
      </c>
      <c r="L5" s="10">
        <v>67153.484765902889</v>
      </c>
      <c r="M5" s="2"/>
      <c r="N5" s="20"/>
      <c r="Q5" s="75"/>
    </row>
    <row r="6" spans="1:17" x14ac:dyDescent="0.25">
      <c r="A6" s="15" t="s">
        <v>45</v>
      </c>
      <c r="B6" s="10">
        <v>27862.725380849628</v>
      </c>
      <c r="C6" s="10">
        <v>1760.1705703775297</v>
      </c>
      <c r="D6" s="10">
        <v>32746.47693634409</v>
      </c>
      <c r="E6" s="10">
        <v>32841.34361983827</v>
      </c>
      <c r="F6" s="10">
        <v>6071.0299277391987</v>
      </c>
      <c r="G6" s="10">
        <v>6288.267921760953</v>
      </c>
      <c r="H6" s="10">
        <v>0.35749999999999998</v>
      </c>
      <c r="I6" s="10">
        <v>210.15700000000001</v>
      </c>
      <c r="J6" s="10">
        <v>22.692555000000002</v>
      </c>
      <c r="K6" s="10">
        <v>41122.989166976753</v>
      </c>
      <c r="L6" s="10">
        <v>66913.439299932914</v>
      </c>
      <c r="M6" s="2"/>
      <c r="N6" s="20"/>
      <c r="Q6" s="75"/>
    </row>
    <row r="7" spans="1:17" x14ac:dyDescent="0.25">
      <c r="A7" s="15" t="s">
        <v>46</v>
      </c>
      <c r="B7" s="10">
        <v>28027.523937585909</v>
      </c>
      <c r="C7" s="10">
        <v>2061.279476198943</v>
      </c>
      <c r="D7" s="10">
        <v>33592.031276827278</v>
      </c>
      <c r="E7" s="10">
        <v>33687.020327183207</v>
      </c>
      <c r="F7" s="10">
        <v>6298.307387969423</v>
      </c>
      <c r="G7" s="10">
        <v>6527.4651457524042</v>
      </c>
      <c r="H7" s="10">
        <v>7.9053989014794901</v>
      </c>
      <c r="I7" s="10">
        <v>186.178</v>
      </c>
      <c r="J7" s="10">
        <v>23.43046275</v>
      </c>
      <c r="K7" s="10">
        <v>42493.278810786032</v>
      </c>
      <c r="L7" s="10">
        <v>68135.376464034096</v>
      </c>
      <c r="M7" s="76"/>
      <c r="N7" s="20"/>
      <c r="Q7" s="75"/>
    </row>
    <row r="8" spans="1:17" x14ac:dyDescent="0.25">
      <c r="A8" s="15" t="s">
        <v>47</v>
      </c>
      <c r="B8" s="10">
        <v>28148.848183332018</v>
      </c>
      <c r="C8" s="10">
        <v>3490.972906923208</v>
      </c>
      <c r="D8" s="10">
        <v>34028.08788703235</v>
      </c>
      <c r="E8" s="10">
        <v>34113.737373929449</v>
      </c>
      <c r="F8" s="10">
        <v>6533.9774162252834</v>
      </c>
      <c r="G8" s="10">
        <v>6764.684761350014</v>
      </c>
      <c r="H8" s="10">
        <v>24.51836355066736</v>
      </c>
      <c r="I8" s="10">
        <v>153.27699999999999</v>
      </c>
      <c r="J8" s="10">
        <v>24.4161658875</v>
      </c>
      <c r="K8" s="10">
        <v>44571.606571640841</v>
      </c>
      <c r="L8" s="10">
        <v>68913.125016027829</v>
      </c>
      <c r="M8" s="76"/>
      <c r="N8" s="20"/>
      <c r="Q8" s="75"/>
    </row>
    <row r="9" spans="1:17" x14ac:dyDescent="0.25">
      <c r="A9" s="15" t="s">
        <v>48</v>
      </c>
      <c r="B9" s="10">
        <v>29377.311418245212</v>
      </c>
      <c r="C9" s="10">
        <v>5230.8296082848037</v>
      </c>
      <c r="D9" s="10">
        <v>34618.850631721994</v>
      </c>
      <c r="E9" s="10">
        <v>34718.996712104592</v>
      </c>
      <c r="F9" s="10">
        <v>6610.6815411413927</v>
      </c>
      <c r="G9" s="10">
        <v>6851.06810088775</v>
      </c>
      <c r="H9" s="10">
        <v>62.940755176522551</v>
      </c>
      <c r="I9" s="10">
        <v>278.98099999999999</v>
      </c>
      <c r="J9" s="10">
        <v>24.647454181931998</v>
      </c>
      <c r="K9" s="10">
        <v>47167.463630635604</v>
      </c>
      <c r="L9" s="10">
        <v>70973.412800467049</v>
      </c>
      <c r="M9" s="76"/>
      <c r="N9" s="20"/>
      <c r="Q9" s="75"/>
    </row>
    <row r="10" spans="1:17" x14ac:dyDescent="0.25">
      <c r="A10" s="15" t="s">
        <v>49</v>
      </c>
      <c r="B10" s="10">
        <v>31326.235691342339</v>
      </c>
      <c r="C10" s="10">
        <v>6811.3520533407</v>
      </c>
      <c r="D10" s="10">
        <v>35320.984790658091</v>
      </c>
      <c r="E10" s="10">
        <v>35417.96493349001</v>
      </c>
      <c r="F10" s="10">
        <v>6700.384755254322</v>
      </c>
      <c r="G10" s="10">
        <v>6946.6262750191627</v>
      </c>
      <c r="H10" s="10">
        <v>94.830098059589844</v>
      </c>
      <c r="I10" s="10">
        <v>201.10571999999999</v>
      </c>
      <c r="J10" s="10">
        <v>25.584566891040001</v>
      </c>
      <c r="K10" s="10">
        <v>49497.463646800505</v>
      </c>
      <c r="L10" s="10">
        <v>73669.125622205378</v>
      </c>
      <c r="M10" s="76"/>
      <c r="N10" s="20"/>
      <c r="Q10" s="75"/>
    </row>
    <row r="11" spans="1:17" x14ac:dyDescent="0.25">
      <c r="A11" s="15" t="s">
        <v>50</v>
      </c>
      <c r="B11" s="10">
        <v>29930.577750031774</v>
      </c>
      <c r="C11" s="10">
        <v>4333.376823365702</v>
      </c>
      <c r="D11" s="10">
        <v>34707.776842689855</v>
      </c>
      <c r="E11" s="10">
        <v>34833.822519917354</v>
      </c>
      <c r="F11" s="10">
        <v>6632.8532313954647</v>
      </c>
      <c r="G11" s="10">
        <v>6876.0248202942366</v>
      </c>
      <c r="H11" s="10">
        <v>121.82962423549748</v>
      </c>
      <c r="I11" s="10">
        <v>151.38290000000001</v>
      </c>
      <c r="J11" s="10">
        <v>24.857395235591998</v>
      </c>
      <c r="K11" s="10">
        <v>46341.294083048379</v>
      </c>
      <c r="L11" s="10">
        <v>71569.277743588187</v>
      </c>
      <c r="M11" s="76"/>
      <c r="N11" s="20"/>
      <c r="Q11" s="75"/>
    </row>
    <row r="12" spans="1:17" x14ac:dyDescent="0.25">
      <c r="A12" s="15" t="s">
        <v>51</v>
      </c>
      <c r="B12" s="10">
        <v>31537.743677365612</v>
      </c>
      <c r="C12" s="10">
        <v>4028.3916298249319</v>
      </c>
      <c r="D12" s="10">
        <v>34893.563246658465</v>
      </c>
      <c r="E12" s="10">
        <v>34977.028665406957</v>
      </c>
      <c r="F12" s="10">
        <v>6663.8582314592622</v>
      </c>
      <c r="G12" s="10">
        <v>6897.4896698156581</v>
      </c>
      <c r="H12" s="10">
        <v>177.98407004271274</v>
      </c>
      <c r="I12" s="10">
        <v>68.666600000000003</v>
      </c>
      <c r="J12" s="10">
        <v>24.564684997211998</v>
      </c>
      <c r="K12" s="10">
        <v>46174.125320087471</v>
      </c>
      <c r="L12" s="10">
        <v>73366.38051052326</v>
      </c>
      <c r="M12" s="76"/>
      <c r="N12" s="20"/>
      <c r="Q12" s="75"/>
    </row>
    <row r="13" spans="1:17" x14ac:dyDescent="0.25">
      <c r="A13" s="15" t="s">
        <v>52</v>
      </c>
      <c r="B13" s="10">
        <v>32339.418733235547</v>
      </c>
      <c r="C13" s="10">
        <v>5209.2234905323821</v>
      </c>
      <c r="D13" s="10">
        <v>35771.59505917324</v>
      </c>
      <c r="E13" s="10">
        <v>35848.596128434612</v>
      </c>
      <c r="F13" s="10">
        <v>6965.7964486202745</v>
      </c>
      <c r="G13" s="10">
        <v>7203.6348270347553</v>
      </c>
      <c r="H13" s="10">
        <v>233.64728767108627</v>
      </c>
      <c r="I13" s="10">
        <v>67.609700000000004</v>
      </c>
      <c r="J13" s="10">
        <v>19.564154978927998</v>
      </c>
      <c r="K13" s="10">
        <v>48582.275588651763</v>
      </c>
      <c r="L13" s="10">
        <v>75397.63138367908</v>
      </c>
      <c r="M13" s="76"/>
      <c r="N13" s="20"/>
      <c r="Q13" s="75"/>
    </row>
    <row r="14" spans="1:17" x14ac:dyDescent="0.25">
      <c r="A14" s="15" t="s">
        <v>53</v>
      </c>
      <c r="B14" s="10">
        <v>34490.004549852994</v>
      </c>
      <c r="C14" s="10">
        <v>7414.6014108061763</v>
      </c>
      <c r="D14" s="10">
        <v>36173.892979759941</v>
      </c>
      <c r="E14" s="10">
        <v>36252.667452398135</v>
      </c>
      <c r="F14" s="10">
        <v>7331.7145982095562</v>
      </c>
      <c r="G14" s="10">
        <v>7565.737830612914</v>
      </c>
      <c r="H14" s="10">
        <v>300.09707980593549</v>
      </c>
      <c r="I14" s="10">
        <v>70.610299999999995</v>
      </c>
      <c r="J14" s="10">
        <v>20.036733223043999</v>
      </c>
      <c r="K14" s="10">
        <v>51623.750806846205</v>
      </c>
      <c r="L14" s="10">
        <v>78386.35624085147</v>
      </c>
      <c r="M14" s="76"/>
      <c r="N14" s="20"/>
      <c r="Q14" s="75"/>
    </row>
    <row r="15" spans="1:17" x14ac:dyDescent="0.25">
      <c r="A15" s="15" t="s">
        <v>54</v>
      </c>
      <c r="B15" s="10">
        <v>34659.518598182054</v>
      </c>
      <c r="C15" s="10">
        <v>9454.084809330132</v>
      </c>
      <c r="D15" s="10">
        <v>35961.728281598938</v>
      </c>
      <c r="E15" s="10">
        <v>36044.570916734287</v>
      </c>
      <c r="F15" s="10">
        <v>7433.079502090086</v>
      </c>
      <c r="G15" s="10">
        <v>7662.6999724951256</v>
      </c>
      <c r="H15" s="10">
        <v>401.36360371201835</v>
      </c>
      <c r="I15" s="10">
        <v>84.484449999999995</v>
      </c>
      <c r="J15" s="10">
        <v>23.317375610244</v>
      </c>
      <c r="K15" s="10">
        <v>53670.52112788181</v>
      </c>
      <c r="L15" s="10">
        <v>78563.491811193337</v>
      </c>
      <c r="M15" s="76"/>
      <c r="N15" s="20"/>
      <c r="Q15" s="75"/>
    </row>
    <row r="16" spans="1:17" x14ac:dyDescent="0.25">
      <c r="A16" s="15" t="s">
        <v>55</v>
      </c>
      <c r="B16" s="10">
        <v>36300.949726775027</v>
      </c>
      <c r="C16" s="10">
        <v>9950.4024628262523</v>
      </c>
      <c r="D16" s="10">
        <v>36080.50430262302</v>
      </c>
      <c r="E16" s="10">
        <v>36167.304097313281</v>
      </c>
      <c r="F16" s="10">
        <v>7696.3378830400043</v>
      </c>
      <c r="G16" s="10">
        <v>7921.8298025338736</v>
      </c>
      <c r="H16" s="10">
        <v>503.84525233029319</v>
      </c>
      <c r="I16" s="10">
        <v>126.813</v>
      </c>
      <c r="J16" s="10">
        <v>25.187358493152001</v>
      </c>
      <c r="K16" s="10">
        <v>54695.381973496857</v>
      </c>
      <c r="L16" s="10">
        <v>80733.637523261496</v>
      </c>
      <c r="M16" s="76"/>
      <c r="N16" s="20"/>
      <c r="Q16" s="75"/>
    </row>
    <row r="17" spans="1:17" x14ac:dyDescent="0.25">
      <c r="A17" s="15" t="s">
        <v>56</v>
      </c>
      <c r="B17" s="10">
        <v>35953.304478224054</v>
      </c>
      <c r="C17" s="10">
        <v>9760.0543427628418</v>
      </c>
      <c r="D17" s="10">
        <v>36055.407126860766</v>
      </c>
      <c r="E17" s="10">
        <v>36133.445361473227</v>
      </c>
      <c r="F17" s="10">
        <v>7829.4652893707826</v>
      </c>
      <c r="G17" s="10">
        <v>8050.7032666194282</v>
      </c>
      <c r="H17" s="10">
        <v>582.5767049860724</v>
      </c>
      <c r="I17" s="10">
        <v>99.115250000000003</v>
      </c>
      <c r="J17" s="10">
        <v>28.915838524356001</v>
      </c>
      <c r="K17" s="10">
        <v>54654.810764365931</v>
      </c>
      <c r="L17" s="10">
        <v>80548.784687966036</v>
      </c>
      <c r="M17" s="76"/>
      <c r="N17" s="20"/>
      <c r="Q17" s="75"/>
    </row>
    <row r="18" spans="1:17" x14ac:dyDescent="0.25">
      <c r="A18" s="15" t="s">
        <v>57</v>
      </c>
      <c r="B18" s="10">
        <v>37553.453956005826</v>
      </c>
      <c r="C18" s="10">
        <v>11902.859470497919</v>
      </c>
      <c r="D18" s="10">
        <v>36244.593751371925</v>
      </c>
      <c r="E18" s="10">
        <v>36356.794591526923</v>
      </c>
      <c r="F18" s="10">
        <v>7899.3201666642744</v>
      </c>
      <c r="G18" s="10">
        <v>8123.9888380380562</v>
      </c>
      <c r="H18" s="10">
        <v>694.01071579338009</v>
      </c>
      <c r="I18" s="10">
        <v>69.379800000000003</v>
      </c>
      <c r="J18" s="10">
        <v>25.413534264468002</v>
      </c>
      <c r="K18" s="10">
        <v>57172.44695012075</v>
      </c>
      <c r="L18" s="10">
        <v>82486.171924099879</v>
      </c>
      <c r="M18" s="76"/>
      <c r="N18" s="20"/>
      <c r="Q18" s="75"/>
    </row>
    <row r="19" spans="1:17" x14ac:dyDescent="0.25">
      <c r="A19" s="15" t="s">
        <v>58</v>
      </c>
      <c r="B19" s="10">
        <v>37543.424751924576</v>
      </c>
      <c r="C19" s="10">
        <v>13506.839659539553</v>
      </c>
      <c r="D19" s="10">
        <v>36354.297061595331</v>
      </c>
      <c r="E19" s="10">
        <v>36469.201671817144</v>
      </c>
      <c r="F19" s="10">
        <v>7694.2327457801621</v>
      </c>
      <c r="G19" s="10">
        <v>7918.924610469352</v>
      </c>
      <c r="H19" s="10">
        <v>798.68050821832253</v>
      </c>
      <c r="I19" s="10">
        <v>106.73165</v>
      </c>
      <c r="J19" s="10">
        <v>21.045871043916001</v>
      </c>
      <c r="K19" s="10">
        <v>58821.423971088283</v>
      </c>
      <c r="L19" s="10">
        <v>82518.412588562307</v>
      </c>
      <c r="M19" s="76"/>
      <c r="N19" s="20"/>
      <c r="Q19" s="75"/>
    </row>
    <row r="20" spans="1:17" x14ac:dyDescent="0.25">
      <c r="A20" s="15" t="s">
        <v>59</v>
      </c>
      <c r="B20" s="10">
        <v>36657.302672291167</v>
      </c>
      <c r="C20" s="10">
        <v>13300.703713520117</v>
      </c>
      <c r="D20" s="10">
        <v>35387.367915442635</v>
      </c>
      <c r="E20" s="10">
        <v>35542.125743294528</v>
      </c>
      <c r="F20" s="10">
        <v>7502.789236975008</v>
      </c>
      <c r="G20" s="10">
        <v>7746.0028509615968</v>
      </c>
      <c r="H20" s="10">
        <v>906.82632422648874</v>
      </c>
      <c r="I20" s="10">
        <v>48.405459999999998</v>
      </c>
      <c r="J20" s="10">
        <v>19.874624517840001</v>
      </c>
      <c r="K20" s="10">
        <v>57563.93871652057</v>
      </c>
      <c r="L20" s="10">
        <v>80522.566233453137</v>
      </c>
      <c r="M20" s="76"/>
      <c r="N20" s="20"/>
      <c r="Q20" s="75"/>
    </row>
    <row r="21" spans="1:17" x14ac:dyDescent="0.25">
      <c r="A21" s="15" t="s">
        <v>60</v>
      </c>
      <c r="B21" s="10">
        <v>37713.283344176642</v>
      </c>
      <c r="C21" s="10">
        <v>7722.6398568426093</v>
      </c>
      <c r="D21" s="10">
        <v>34315.002734991831</v>
      </c>
      <c r="E21" s="10">
        <v>34402.88429182869</v>
      </c>
      <c r="F21" s="10">
        <v>7501.4638814717282</v>
      </c>
      <c r="G21" s="10">
        <v>7704.6435688785086</v>
      </c>
      <c r="H21" s="10">
        <v>1010.886769818749</v>
      </c>
      <c r="I21" s="10">
        <v>45.467469999999999</v>
      </c>
      <c r="J21" s="10">
        <v>19.341221609291999</v>
      </c>
      <c r="K21" s="10">
        <v>50905.863178977852</v>
      </c>
      <c r="L21" s="10">
        <v>80605.445422068238</v>
      </c>
      <c r="M21" s="76"/>
      <c r="N21" s="20"/>
      <c r="Q21" s="75"/>
    </row>
    <row r="22" spans="1:17" x14ac:dyDescent="0.25">
      <c r="A22" s="15" t="s">
        <v>61</v>
      </c>
      <c r="B22" s="10">
        <v>34882.460053019895</v>
      </c>
      <c r="C22" s="10">
        <v>5779.08759262695</v>
      </c>
      <c r="D22" s="10">
        <v>34427.390251652483</v>
      </c>
      <c r="E22" s="10">
        <v>34526.459415519697</v>
      </c>
      <c r="F22" s="10">
        <v>7501.6438605104313</v>
      </c>
      <c r="G22" s="10">
        <v>7702.083394143383</v>
      </c>
      <c r="H22" s="10">
        <v>994.06268327978239</v>
      </c>
      <c r="I22" s="10">
        <v>53.857970000000002</v>
      </c>
      <c r="J22" s="10">
        <v>22.536088782707999</v>
      </c>
      <c r="K22" s="10">
        <v>49078.087144352517</v>
      </c>
      <c r="L22" s="10">
        <v>77881.950907245307</v>
      </c>
      <c r="M22" s="76"/>
      <c r="N22" s="20"/>
      <c r="Q22" s="75"/>
    </row>
    <row r="23" spans="1:17" x14ac:dyDescent="0.25">
      <c r="A23" s="15" t="s">
        <v>62</v>
      </c>
      <c r="B23" s="10">
        <v>35031.266478375284</v>
      </c>
      <c r="C23" s="10">
        <v>5047.9207418309043</v>
      </c>
      <c r="D23" s="10">
        <v>34518.563410329858</v>
      </c>
      <c r="E23" s="10">
        <v>34614.341836830827</v>
      </c>
      <c r="F23" s="10">
        <v>7642.8737238418171</v>
      </c>
      <c r="G23" s="10">
        <v>7838.3711738477014</v>
      </c>
      <c r="H23" s="10">
        <v>1053.3088123697455</v>
      </c>
      <c r="I23" s="10">
        <v>47.561549999999997</v>
      </c>
      <c r="J23" s="10">
        <v>22.837506235068002</v>
      </c>
      <c r="K23" s="10">
        <v>48624.341621114239</v>
      </c>
      <c r="L23" s="10">
        <v>78316.411481151765</v>
      </c>
      <c r="M23" s="76"/>
      <c r="N23" s="20"/>
      <c r="Q23" s="75"/>
    </row>
    <row r="24" spans="1:17" x14ac:dyDescent="0.25">
      <c r="A24" s="15" t="s">
        <v>63</v>
      </c>
      <c r="B24" s="10">
        <v>34497.004314652047</v>
      </c>
      <c r="C24" s="10">
        <v>8471.9478664599956</v>
      </c>
      <c r="D24" s="10">
        <v>34592.461664435577</v>
      </c>
      <c r="E24" s="10">
        <v>34661.3762225096</v>
      </c>
      <c r="F24" s="10">
        <v>7823.1043540585724</v>
      </c>
      <c r="G24" s="10">
        <v>8014.406858243894</v>
      </c>
      <c r="H24" s="10">
        <v>1182.5731954922828</v>
      </c>
      <c r="I24" s="10">
        <v>35.151732956845002</v>
      </c>
      <c r="J24" s="10">
        <v>18.939779918304001</v>
      </c>
      <c r="K24" s="10">
        <v>52384.395655580927</v>
      </c>
      <c r="L24" s="10">
        <v>78149.235041513632</v>
      </c>
      <c r="M24" s="76"/>
      <c r="N24" s="20"/>
      <c r="Q24" s="75"/>
    </row>
    <row r="25" spans="1:17" x14ac:dyDescent="0.25">
      <c r="A25" s="15" t="s">
        <v>64</v>
      </c>
      <c r="B25" s="10">
        <v>36137.910803780425</v>
      </c>
      <c r="C25" s="10">
        <v>10676.498495994732</v>
      </c>
      <c r="D25" s="10">
        <v>35077.772196171354</v>
      </c>
      <c r="E25" s="10">
        <v>35154.038728683707</v>
      </c>
      <c r="F25" s="10">
        <v>7931.6707451236298</v>
      </c>
      <c r="G25" s="10">
        <v>8120.5877709205279</v>
      </c>
      <c r="H25" s="10">
        <v>1230.5579771768046</v>
      </c>
      <c r="I25" s="10">
        <v>47.461606756948001</v>
      </c>
      <c r="J25" s="10">
        <v>20.905156815840002</v>
      </c>
      <c r="K25" s="10">
        <v>55250.049736348556</v>
      </c>
      <c r="L25" s="10">
        <v>80446.278485825009</v>
      </c>
      <c r="M25" s="76"/>
      <c r="N25" s="20"/>
      <c r="Q25" s="75"/>
    </row>
    <row r="26" spans="1:17" x14ac:dyDescent="0.25">
      <c r="A26" s="15" t="s">
        <v>65</v>
      </c>
      <c r="B26" s="10">
        <v>35304.680851276302</v>
      </c>
      <c r="C26" s="10">
        <v>11307.617560297056</v>
      </c>
      <c r="D26" s="10">
        <v>35202.228900101953</v>
      </c>
      <c r="E26" s="10">
        <v>35276.460686748091</v>
      </c>
      <c r="F26" s="10">
        <v>7961.9831460934447</v>
      </c>
      <c r="G26" s="10">
        <v>8140.0212502028062</v>
      </c>
      <c r="H26" s="10">
        <v>1292.5618235901898</v>
      </c>
      <c r="I26" s="10">
        <v>48.125254947889999</v>
      </c>
      <c r="J26" s="10">
        <v>18.190856183459999</v>
      </c>
      <c r="K26" s="10">
        <v>56082.977431969492</v>
      </c>
      <c r="L26" s="10">
        <v>79827.770832193244</v>
      </c>
      <c r="M26" s="76"/>
      <c r="N26" s="20"/>
      <c r="Q26" s="75"/>
    </row>
    <row r="27" spans="1:17" x14ac:dyDescent="0.25">
      <c r="A27" s="15">
        <v>2014</v>
      </c>
      <c r="B27" s="10">
        <v>35531.368758940604</v>
      </c>
      <c r="C27" s="10">
        <v>9521.1732534164967</v>
      </c>
      <c r="D27" s="10">
        <v>35507.988706528602</v>
      </c>
      <c r="E27" s="10">
        <v>35574.790498541355</v>
      </c>
      <c r="F27" s="10">
        <v>8228.5728372442318</v>
      </c>
      <c r="G27" s="10">
        <v>8385.9189744323176</v>
      </c>
      <c r="H27" s="10">
        <v>1315.8508340064104</v>
      </c>
      <c r="I27" s="10">
        <v>73.409788143055394</v>
      </c>
      <c r="J27" s="10">
        <v>16.806683468351999</v>
      </c>
      <c r="K27" s="10">
        <v>54887.95003200799</v>
      </c>
      <c r="L27" s="10">
        <v>80673.99760833125</v>
      </c>
      <c r="M27" s="76"/>
      <c r="N27" s="20"/>
      <c r="Q27" s="75"/>
    </row>
    <row r="28" spans="1:17" x14ac:dyDescent="0.25">
      <c r="A28" s="15" t="s">
        <v>66</v>
      </c>
      <c r="B28" s="10">
        <v>36071.296522403682</v>
      </c>
      <c r="C28" s="10">
        <v>8954.1971621723296</v>
      </c>
      <c r="D28" s="10">
        <v>34993.686607642339</v>
      </c>
      <c r="E28" s="10">
        <v>35067.936615473591</v>
      </c>
      <c r="F28" s="10">
        <v>8146.080846631271</v>
      </c>
      <c r="G28" s="10">
        <v>8295.0469929883657</v>
      </c>
      <c r="H28" s="10">
        <v>1438.3162248880417</v>
      </c>
      <c r="I28" s="10">
        <v>58.585213292659702</v>
      </c>
      <c r="J28" s="10">
        <v>16.470457267619999</v>
      </c>
      <c r="K28" s="10">
        <v>53830.5526660826</v>
      </c>
      <c r="L28" s="10">
        <v>80724.435872125614</v>
      </c>
      <c r="M28" s="76"/>
      <c r="N28" s="20"/>
      <c r="Q28" s="75"/>
    </row>
    <row r="29" spans="1:17" x14ac:dyDescent="0.25">
      <c r="A29" s="15" t="s">
        <v>67</v>
      </c>
      <c r="B29" s="10">
        <v>34304.68318446078</v>
      </c>
      <c r="C29" s="10">
        <v>8673.582877250441</v>
      </c>
      <c r="D29" s="10">
        <v>34561.763562148903</v>
      </c>
      <c r="E29" s="10">
        <v>34663.918613215574</v>
      </c>
      <c r="F29" s="10">
        <v>8172.0171236532933</v>
      </c>
      <c r="G29" s="10">
        <v>8305.1672426585756</v>
      </c>
      <c r="H29" s="10">
        <v>1573.8376405916074</v>
      </c>
      <c r="I29" s="10">
        <v>48.691416228473997</v>
      </c>
      <c r="J29" s="10">
        <v>17.368851441263999</v>
      </c>
      <c r="K29" s="10">
        <v>53282.566641385944</v>
      </c>
      <c r="L29" s="10">
        <v>78678.361778524326</v>
      </c>
      <c r="M29" s="76"/>
      <c r="N29" s="20"/>
      <c r="Q29" s="75"/>
    </row>
    <row r="30" spans="1:17" x14ac:dyDescent="0.25">
      <c r="A30" s="15" t="s">
        <v>68</v>
      </c>
      <c r="B30" s="10">
        <v>35854.823046947873</v>
      </c>
      <c r="C30" s="10">
        <v>9720.0147974908014</v>
      </c>
      <c r="D30" s="10">
        <v>34480.88307945487</v>
      </c>
      <c r="E30" s="10">
        <v>34572.379092983705</v>
      </c>
      <c r="F30" s="10">
        <v>8197.6851911344329</v>
      </c>
      <c r="G30" s="10">
        <v>8312.195207774239</v>
      </c>
      <c r="H30" s="10">
        <v>1673.3546250138286</v>
      </c>
      <c r="I30" s="10">
        <v>60.457723450000003</v>
      </c>
      <c r="J30" s="10">
        <v>14.795615867172</v>
      </c>
      <c r="K30" s="10">
        <v>54353.19706257974</v>
      </c>
      <c r="L30" s="10">
        <v>80281.999281868179</v>
      </c>
      <c r="M30" s="76"/>
      <c r="N30" s="20"/>
      <c r="Q30" s="75"/>
    </row>
    <row r="31" spans="1:17" x14ac:dyDescent="0.25">
      <c r="A31" s="15" t="s">
        <v>69</v>
      </c>
      <c r="B31" s="10">
        <v>35789.215456684709</v>
      </c>
      <c r="C31" s="10">
        <v>8831.9256531998817</v>
      </c>
      <c r="D31" s="10">
        <v>34535.594592258516</v>
      </c>
      <c r="E31" s="10">
        <v>34615.600741568509</v>
      </c>
      <c r="F31" s="10">
        <v>8325.7487629349034</v>
      </c>
      <c r="G31" s="10">
        <v>8446.6763950655113</v>
      </c>
      <c r="H31" s="10">
        <v>1840.6391928115565</v>
      </c>
      <c r="I31" s="10">
        <v>72.396164892824004</v>
      </c>
      <c r="J31" s="10">
        <v>14.714656137876</v>
      </c>
      <c r="K31" s="10">
        <v>53821.952803676155</v>
      </c>
      <c r="L31" s="10">
        <v>80578.308825720393</v>
      </c>
      <c r="M31" s="76"/>
      <c r="N31" s="20"/>
      <c r="Q31" s="75"/>
    </row>
    <row r="32" spans="1:17" x14ac:dyDescent="0.25">
      <c r="A32" s="15" t="s">
        <v>78</v>
      </c>
      <c r="B32" s="10">
        <v>37494.501955530977</v>
      </c>
      <c r="C32" s="10">
        <v>9881.9725594231732</v>
      </c>
      <c r="D32" s="10">
        <v>34621.292083498724</v>
      </c>
      <c r="E32" s="10">
        <v>34697.84877359611</v>
      </c>
      <c r="F32" s="10">
        <v>8363.1778452818344</v>
      </c>
      <c r="G32" s="10">
        <v>8474.0600206101026</v>
      </c>
      <c r="H32" s="10">
        <v>1734.0639951288383</v>
      </c>
      <c r="I32" s="10">
        <v>89.131613896000005</v>
      </c>
      <c r="J32" s="10">
        <v>15.708216288984001</v>
      </c>
      <c r="K32" s="10">
        <v>54892.785178943202</v>
      </c>
      <c r="L32" s="10">
        <v>82317.875709625354</v>
      </c>
      <c r="M32" s="76"/>
      <c r="N32" s="20"/>
      <c r="Q32" s="75"/>
    </row>
    <row r="33" spans="1:1" x14ac:dyDescent="0.25">
      <c r="A33" s="11" t="s">
        <v>247</v>
      </c>
    </row>
    <row r="34" spans="1:1" x14ac:dyDescent="0.25">
      <c r="A34" s="23" t="s">
        <v>248</v>
      </c>
    </row>
  </sheetData>
  <mergeCells count="1">
    <mergeCell ref="A1:L1"/>
  </mergeCells>
  <hyperlinks>
    <hyperlink ref="A34" r:id="rId1" xr:uid="{2E1B4A4E-09C1-4DAE-81F1-56C5B3C32C44}"/>
  </hyperlinks>
  <pageMargins left="0.7" right="0.7" top="0.75" bottom="0.75" header="0.3" footer="0.3"/>
  <pageSetup paperSize="9"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C92EB-0C7C-4BFC-AFF1-EABC6D4E3B70}">
  <sheetPr>
    <tabColor rgb="FFA5A5A5"/>
    <pageSetUpPr fitToPage="1"/>
  </sheetPr>
  <dimension ref="A1:AH50"/>
  <sheetViews>
    <sheetView showGridLines="0" topLeftCell="A16" workbookViewId="0">
      <selection activeCell="D55" sqref="D55"/>
    </sheetView>
  </sheetViews>
  <sheetFormatPr defaultColWidth="8" defaultRowHeight="12" customHeight="1" x14ac:dyDescent="0.2"/>
  <cols>
    <col min="1" max="1" width="52.85546875" style="105" customWidth="1"/>
    <col min="2" max="33" width="15.7109375" style="105" customWidth="1"/>
    <col min="34" max="34" width="14.5703125" style="105" customWidth="1"/>
    <col min="35" max="35" width="15.5703125" style="105" customWidth="1"/>
    <col min="36" max="36" width="9" style="105" customWidth="1"/>
    <col min="37" max="38" width="9.140625" style="105" customWidth="1"/>
    <col min="39" max="39" width="9.5703125" style="105" customWidth="1"/>
    <col min="40" max="42" width="8.7109375" style="105" customWidth="1"/>
    <col min="43" max="43" width="8.5703125" style="105" customWidth="1"/>
    <col min="44" max="44" width="8.7109375" style="105" customWidth="1"/>
    <col min="45" max="45" width="8.5703125" style="105" customWidth="1"/>
    <col min="46" max="46" width="9.5703125" style="105" customWidth="1"/>
    <col min="47" max="47" width="8.7109375" style="105" customWidth="1"/>
    <col min="48" max="48" width="9.140625" style="105" customWidth="1"/>
    <col min="49" max="49" width="8.7109375" style="105" customWidth="1"/>
    <col min="50" max="50" width="9.7109375" style="105" customWidth="1"/>
    <col min="51" max="51" width="8.7109375" style="105" customWidth="1"/>
    <col min="52" max="52" width="9.85546875" style="105" customWidth="1"/>
    <col min="53" max="53" width="9" style="105" customWidth="1"/>
    <col min="54" max="54" width="9.140625" style="105" customWidth="1"/>
    <col min="55" max="55" width="8.5703125" style="105" customWidth="1"/>
    <col min="56" max="16384" width="8" style="105"/>
  </cols>
  <sheetData>
    <row r="1" spans="1:34" ht="17.25" customHeight="1" x14ac:dyDescent="0.2">
      <c r="A1" s="102" t="s">
        <v>275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c r="AB1" s="103"/>
      <c r="AC1" s="103"/>
      <c r="AD1" s="103"/>
      <c r="AE1" s="103"/>
      <c r="AF1" s="103"/>
      <c r="AG1" s="104" t="s">
        <v>276</v>
      </c>
    </row>
    <row r="2" spans="1:34" ht="17.25" x14ac:dyDescent="0.2">
      <c r="A2" s="102" t="s">
        <v>277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4" t="s">
        <v>278</v>
      </c>
    </row>
    <row r="3" spans="1:34" ht="15.75" x14ac:dyDescent="0.2">
      <c r="A3" s="102" t="s">
        <v>279</v>
      </c>
      <c r="B3" s="103"/>
      <c r="C3" s="103"/>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4" t="s">
        <v>280</v>
      </c>
    </row>
    <row r="4" spans="1:34" x14ac:dyDescent="0.2">
      <c r="A4" s="103"/>
      <c r="B4" s="103"/>
      <c r="C4" s="103"/>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c r="AG4" s="103"/>
    </row>
    <row r="5" spans="1:34" ht="38.25" customHeight="1" x14ac:dyDescent="0.2">
      <c r="A5" s="154" t="s">
        <v>281</v>
      </c>
      <c r="B5" s="15" t="s">
        <v>282</v>
      </c>
      <c r="C5" s="15" t="s">
        <v>42</v>
      </c>
      <c r="D5" s="15" t="s">
        <v>43</v>
      </c>
      <c r="E5" s="15" t="s">
        <v>44</v>
      </c>
      <c r="F5" s="15" t="s">
        <v>45</v>
      </c>
      <c r="G5" s="15" t="s">
        <v>46</v>
      </c>
      <c r="H5" s="15" t="s">
        <v>47</v>
      </c>
      <c r="I5" s="15" t="s">
        <v>48</v>
      </c>
      <c r="J5" s="15" t="s">
        <v>49</v>
      </c>
      <c r="K5" s="15" t="s">
        <v>50</v>
      </c>
      <c r="L5" s="15" t="s">
        <v>51</v>
      </c>
      <c r="M5" s="15" t="s">
        <v>52</v>
      </c>
      <c r="N5" s="15" t="s">
        <v>53</v>
      </c>
      <c r="O5" s="15" t="s">
        <v>54</v>
      </c>
      <c r="P5" s="15" t="s">
        <v>55</v>
      </c>
      <c r="Q5" s="15" t="s">
        <v>56</v>
      </c>
      <c r="R5" s="15" t="s">
        <v>57</v>
      </c>
      <c r="S5" s="15" t="s">
        <v>58</v>
      </c>
      <c r="T5" s="15" t="s">
        <v>59</v>
      </c>
      <c r="U5" s="15" t="s">
        <v>60</v>
      </c>
      <c r="V5" s="15" t="s">
        <v>61</v>
      </c>
      <c r="W5" s="15" t="s">
        <v>62</v>
      </c>
      <c r="X5" s="15" t="s">
        <v>63</v>
      </c>
      <c r="Y5" s="15" t="s">
        <v>64</v>
      </c>
      <c r="Z5" s="15" t="s">
        <v>65</v>
      </c>
      <c r="AA5" s="15" t="s">
        <v>283</v>
      </c>
      <c r="AB5" s="15" t="s">
        <v>66</v>
      </c>
      <c r="AC5" s="15" t="s">
        <v>67</v>
      </c>
      <c r="AD5" s="15" t="s">
        <v>68</v>
      </c>
      <c r="AE5" s="15" t="s">
        <v>69</v>
      </c>
      <c r="AF5" s="15" t="s">
        <v>78</v>
      </c>
      <c r="AG5" s="106" t="s">
        <v>284</v>
      </c>
      <c r="AH5" s="107"/>
    </row>
    <row r="6" spans="1:34" ht="19.5" customHeight="1" thickBot="1" x14ac:dyDescent="0.25">
      <c r="A6" s="155"/>
      <c r="B6" s="156" t="s">
        <v>285</v>
      </c>
      <c r="C6" s="157"/>
      <c r="D6" s="157"/>
      <c r="E6" s="157"/>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08" t="s">
        <v>286</v>
      </c>
      <c r="AH6" s="107"/>
    </row>
    <row r="7" spans="1:34" ht="19.5" customHeight="1" thickTop="1" x14ac:dyDescent="0.2">
      <c r="A7" s="109" t="s">
        <v>287</v>
      </c>
      <c r="B7" s="110">
        <v>909.9493480000001</v>
      </c>
      <c r="C7" s="110">
        <v>909.9493480000001</v>
      </c>
      <c r="D7" s="110">
        <v>903.78987199999995</v>
      </c>
      <c r="E7" s="110">
        <v>462.16500000000002</v>
      </c>
      <c r="F7" s="110">
        <v>210.5145</v>
      </c>
      <c r="G7" s="110">
        <v>194.08339890147948</v>
      </c>
      <c r="H7" s="110">
        <v>177.79536355066736</v>
      </c>
      <c r="I7" s="110">
        <v>341.92175517652254</v>
      </c>
      <c r="J7" s="110">
        <v>295.93581805958985</v>
      </c>
      <c r="K7" s="110">
        <v>273.21252423549748</v>
      </c>
      <c r="L7" s="110">
        <v>246.65067004271273</v>
      </c>
      <c r="M7" s="110">
        <v>301.25698767108628</v>
      </c>
      <c r="N7" s="110">
        <v>370.70737980593555</v>
      </c>
      <c r="O7" s="110">
        <v>485.84805371201833</v>
      </c>
      <c r="P7" s="110">
        <v>630.65825233029318</v>
      </c>
      <c r="Q7" s="110">
        <v>681.69195498607235</v>
      </c>
      <c r="R7" s="110">
        <v>763.39051579338002</v>
      </c>
      <c r="S7" s="110">
        <v>905.41215821832247</v>
      </c>
      <c r="T7" s="110">
        <v>955.2317842264888</v>
      </c>
      <c r="U7" s="110">
        <v>1056.354239818749</v>
      </c>
      <c r="V7" s="110">
        <v>1047.9206532797825</v>
      </c>
      <c r="W7" s="110">
        <v>1100.8703623697454</v>
      </c>
      <c r="X7" s="110">
        <v>1217.7249284491277</v>
      </c>
      <c r="Y7" s="110">
        <v>1278.0195839337525</v>
      </c>
      <c r="Z7" s="110">
        <v>1340.6870785380797</v>
      </c>
      <c r="AA7" s="110">
        <v>1389.2606221494659</v>
      </c>
      <c r="AB7" s="110">
        <v>1496.9014381807015</v>
      </c>
      <c r="AC7" s="110">
        <v>1622.5290568200815</v>
      </c>
      <c r="AD7" s="110">
        <v>1733.8123484638286</v>
      </c>
      <c r="AE7" s="110">
        <v>1913.0353577043804</v>
      </c>
      <c r="AF7" s="110">
        <v>1823.1956090248384</v>
      </c>
      <c r="AG7" s="110">
        <v>100.362318301792</v>
      </c>
      <c r="AH7" s="107"/>
    </row>
    <row r="8" spans="1:34" ht="13.5" x14ac:dyDescent="0.2">
      <c r="A8" s="111" t="s">
        <v>288</v>
      </c>
      <c r="B8" s="110" t="s">
        <v>289</v>
      </c>
      <c r="C8" s="110" t="s">
        <v>289</v>
      </c>
      <c r="D8" s="110" t="s">
        <v>289</v>
      </c>
      <c r="E8" s="110">
        <v>0.28599999999999998</v>
      </c>
      <c r="F8" s="110">
        <v>0.35749999999999998</v>
      </c>
      <c r="G8" s="110">
        <v>7.9053989014794901</v>
      </c>
      <c r="H8" s="110">
        <v>24.51836355066736</v>
      </c>
      <c r="I8" s="110">
        <v>62.940755176522551</v>
      </c>
      <c r="J8" s="110">
        <v>94.830098059589844</v>
      </c>
      <c r="K8" s="110">
        <v>121.82962423549748</v>
      </c>
      <c r="L8" s="110">
        <v>177.98407004271274</v>
      </c>
      <c r="M8" s="110">
        <v>233.64728767108627</v>
      </c>
      <c r="N8" s="110">
        <v>300.09707980593549</v>
      </c>
      <c r="O8" s="110">
        <v>401.36360371201835</v>
      </c>
      <c r="P8" s="110">
        <v>503.84525233029319</v>
      </c>
      <c r="Q8" s="110">
        <v>582.5767049860724</v>
      </c>
      <c r="R8" s="110">
        <v>694.01071579338009</v>
      </c>
      <c r="S8" s="110">
        <v>798.68050821832253</v>
      </c>
      <c r="T8" s="110">
        <v>906.82632422648874</v>
      </c>
      <c r="U8" s="110">
        <v>1010.886769818749</v>
      </c>
      <c r="V8" s="110">
        <v>994.06268327978239</v>
      </c>
      <c r="W8" s="110">
        <v>1053.3088123697455</v>
      </c>
      <c r="X8" s="110">
        <v>1182.5731954922828</v>
      </c>
      <c r="Y8" s="110">
        <v>1230.5579771768046</v>
      </c>
      <c r="Z8" s="110">
        <v>1292.5618235901898</v>
      </c>
      <c r="AA8" s="110">
        <v>1315.8508340064104</v>
      </c>
      <c r="AB8" s="110">
        <v>1438.3162248880417</v>
      </c>
      <c r="AC8" s="110">
        <v>1573.8376405916074</v>
      </c>
      <c r="AD8" s="110">
        <v>1673.3546250138286</v>
      </c>
      <c r="AE8" s="110">
        <v>1840.6391928115565</v>
      </c>
      <c r="AF8" s="110">
        <v>1734.0639951288383</v>
      </c>
      <c r="AG8" s="110">
        <v>100</v>
      </c>
      <c r="AH8" s="107"/>
    </row>
    <row r="9" spans="1:34" x14ac:dyDescent="0.2">
      <c r="A9" s="112" t="s">
        <v>290</v>
      </c>
      <c r="B9" s="113" t="s">
        <v>289</v>
      </c>
      <c r="C9" s="113" t="s">
        <v>289</v>
      </c>
      <c r="D9" s="113" t="s">
        <v>289</v>
      </c>
      <c r="E9" s="113" t="s">
        <v>289</v>
      </c>
      <c r="F9" s="113" t="s">
        <v>289</v>
      </c>
      <c r="G9" s="113" t="s">
        <v>289</v>
      </c>
      <c r="H9" s="113" t="s">
        <v>289</v>
      </c>
      <c r="I9" s="113" t="s">
        <v>289</v>
      </c>
      <c r="J9" s="113" t="s">
        <v>289</v>
      </c>
      <c r="K9" s="113" t="s">
        <v>289</v>
      </c>
      <c r="L9" s="113" t="s">
        <v>289</v>
      </c>
      <c r="M9" s="113" t="s">
        <v>289</v>
      </c>
      <c r="N9" s="113" t="s">
        <v>289</v>
      </c>
      <c r="O9" s="113">
        <v>2.5999999999999998E-5</v>
      </c>
      <c r="P9" s="113">
        <v>8.2999999999999998E-5</v>
      </c>
      <c r="Q9" s="113" t="s">
        <v>289</v>
      </c>
      <c r="R9" s="113" t="s">
        <v>289</v>
      </c>
      <c r="S9" s="113">
        <v>5.0000000000000001E-4</v>
      </c>
      <c r="T9" s="113" t="s">
        <v>289</v>
      </c>
      <c r="U9" s="113" t="s">
        <v>289</v>
      </c>
      <c r="V9" s="113" t="s">
        <v>289</v>
      </c>
      <c r="W9" s="113">
        <v>2.0699999999999998E-5</v>
      </c>
      <c r="X9" s="113" t="s">
        <v>289</v>
      </c>
      <c r="Y9" s="113" t="s">
        <v>289</v>
      </c>
      <c r="Z9" s="113" t="s">
        <v>289</v>
      </c>
      <c r="AA9" s="113" t="s">
        <v>289</v>
      </c>
      <c r="AB9" s="113" t="s">
        <v>289</v>
      </c>
      <c r="AC9" s="114" t="s">
        <v>289</v>
      </c>
      <c r="AD9" s="114">
        <v>3.6000000000000001E-5</v>
      </c>
      <c r="AE9" s="114">
        <v>1.8E-5</v>
      </c>
      <c r="AF9" s="114" t="s">
        <v>289</v>
      </c>
      <c r="AG9" s="113">
        <v>0</v>
      </c>
      <c r="AH9" s="107"/>
    </row>
    <row r="10" spans="1:34" x14ac:dyDescent="0.2">
      <c r="A10" s="112" t="s">
        <v>291</v>
      </c>
      <c r="B10" s="113" t="s">
        <v>289</v>
      </c>
      <c r="C10" s="113" t="s">
        <v>289</v>
      </c>
      <c r="D10" s="113" t="s">
        <v>289</v>
      </c>
      <c r="E10" s="113" t="s">
        <v>289</v>
      </c>
      <c r="F10" s="113" t="s">
        <v>289</v>
      </c>
      <c r="G10" s="113" t="s">
        <v>289</v>
      </c>
      <c r="H10" s="113">
        <v>2.8898430140000001E-5</v>
      </c>
      <c r="I10" s="113">
        <v>1.2227811616999999E-4</v>
      </c>
      <c r="J10" s="113">
        <v>1.7405780220000001E-4</v>
      </c>
      <c r="K10" s="113">
        <v>4.0485780220000001E-4</v>
      </c>
      <c r="L10" s="113">
        <v>1.1093244923099999E-3</v>
      </c>
      <c r="M10" s="113">
        <v>1.5742928270799999E-3</v>
      </c>
      <c r="N10" s="113">
        <v>2.4588928553800002E-3</v>
      </c>
      <c r="O10" s="113">
        <v>3.5888306461500001E-3</v>
      </c>
      <c r="P10" s="113">
        <v>3.5475991999999999E-3</v>
      </c>
      <c r="Q10" s="113">
        <v>6.0353627621500001E-3</v>
      </c>
      <c r="R10" s="113">
        <v>6.0960974726200004E-3</v>
      </c>
      <c r="S10" s="113">
        <v>9.53824815699E-3</v>
      </c>
      <c r="T10" s="113">
        <v>1.4407155572179999E-2</v>
      </c>
      <c r="U10" s="113">
        <v>1.860929809866E-2</v>
      </c>
      <c r="V10" s="113">
        <v>1.8077737553699999E-2</v>
      </c>
      <c r="W10" s="113">
        <v>2.4814852462919999E-2</v>
      </c>
      <c r="X10" s="113">
        <v>3.8786122358600003E-2</v>
      </c>
      <c r="Y10" s="113">
        <v>3.8671473443839997E-2</v>
      </c>
      <c r="Z10" s="113">
        <v>3.9320775689919998E-2</v>
      </c>
      <c r="AA10" s="113">
        <v>4.5319442406869997E-2</v>
      </c>
      <c r="AB10" s="113">
        <v>5.885621965289E-2</v>
      </c>
      <c r="AC10" s="114">
        <v>7.6070492891100003E-2</v>
      </c>
      <c r="AD10" s="114">
        <v>9.9187696624840005E-2</v>
      </c>
      <c r="AE10" s="114">
        <v>0.12597097399561</v>
      </c>
      <c r="AF10" s="114">
        <v>0.14305472687060999</v>
      </c>
      <c r="AG10" s="113">
        <v>100</v>
      </c>
      <c r="AH10" s="107"/>
    </row>
    <row r="11" spans="1:34" x14ac:dyDescent="0.2">
      <c r="A11" s="112" t="s">
        <v>292</v>
      </c>
      <c r="B11" s="113" t="s">
        <v>293</v>
      </c>
      <c r="C11" s="113" t="s">
        <v>293</v>
      </c>
      <c r="D11" s="113" t="s">
        <v>293</v>
      </c>
      <c r="E11" s="113" t="s">
        <v>293</v>
      </c>
      <c r="F11" s="113" t="s">
        <v>293</v>
      </c>
      <c r="G11" s="113" t="s">
        <v>293</v>
      </c>
      <c r="H11" s="113" t="s">
        <v>293</v>
      </c>
      <c r="I11" s="113" t="s">
        <v>293</v>
      </c>
      <c r="J11" s="113" t="s">
        <v>293</v>
      </c>
      <c r="K11" s="113" t="s">
        <v>293</v>
      </c>
      <c r="L11" s="113" t="s">
        <v>293</v>
      </c>
      <c r="M11" s="113" t="s">
        <v>293</v>
      </c>
      <c r="N11" s="113" t="s">
        <v>293</v>
      </c>
      <c r="O11" s="113" t="s">
        <v>293</v>
      </c>
      <c r="P11" s="113" t="s">
        <v>293</v>
      </c>
      <c r="Q11" s="113" t="s">
        <v>293</v>
      </c>
      <c r="R11" s="113" t="s">
        <v>293</v>
      </c>
      <c r="S11" s="113" t="s">
        <v>293</v>
      </c>
      <c r="T11" s="113" t="s">
        <v>293</v>
      </c>
      <c r="U11" s="113" t="s">
        <v>293</v>
      </c>
      <c r="V11" s="113" t="s">
        <v>293</v>
      </c>
      <c r="W11" s="113" t="s">
        <v>293</v>
      </c>
      <c r="X11" s="113" t="s">
        <v>293</v>
      </c>
      <c r="Y11" s="113" t="s">
        <v>293</v>
      </c>
      <c r="Z11" s="113" t="s">
        <v>293</v>
      </c>
      <c r="AA11" s="113" t="s">
        <v>293</v>
      </c>
      <c r="AB11" s="113" t="s">
        <v>293</v>
      </c>
      <c r="AC11" s="114" t="s">
        <v>293</v>
      </c>
      <c r="AD11" s="114" t="s">
        <v>293</v>
      </c>
      <c r="AE11" s="114" t="s">
        <v>293</v>
      </c>
      <c r="AF11" s="114" t="s">
        <v>293</v>
      </c>
      <c r="AG11" s="113">
        <v>0</v>
      </c>
      <c r="AH11" s="107"/>
    </row>
    <row r="12" spans="1:34" x14ac:dyDescent="0.2">
      <c r="A12" s="112" t="s">
        <v>294</v>
      </c>
      <c r="B12" s="113" t="s">
        <v>293</v>
      </c>
      <c r="C12" s="113" t="s">
        <v>293</v>
      </c>
      <c r="D12" s="113" t="s">
        <v>293</v>
      </c>
      <c r="E12" s="113" t="s">
        <v>293</v>
      </c>
      <c r="F12" s="113" t="s">
        <v>293</v>
      </c>
      <c r="G12" s="113" t="s">
        <v>293</v>
      </c>
      <c r="H12" s="113" t="s">
        <v>293</v>
      </c>
      <c r="I12" s="113" t="s">
        <v>293</v>
      </c>
      <c r="J12" s="113" t="s">
        <v>293</v>
      </c>
      <c r="K12" s="113" t="s">
        <v>293</v>
      </c>
      <c r="L12" s="113" t="s">
        <v>293</v>
      </c>
      <c r="M12" s="113" t="s">
        <v>293</v>
      </c>
      <c r="N12" s="113" t="s">
        <v>293</v>
      </c>
      <c r="O12" s="113" t="s">
        <v>293</v>
      </c>
      <c r="P12" s="113" t="s">
        <v>293</v>
      </c>
      <c r="Q12" s="113" t="s">
        <v>293</v>
      </c>
      <c r="R12" s="113" t="s">
        <v>293</v>
      </c>
      <c r="S12" s="113" t="s">
        <v>293</v>
      </c>
      <c r="T12" s="113" t="s">
        <v>293</v>
      </c>
      <c r="U12" s="113" t="s">
        <v>293</v>
      </c>
      <c r="V12" s="113" t="s">
        <v>293</v>
      </c>
      <c r="W12" s="113" t="s">
        <v>293</v>
      </c>
      <c r="X12" s="113" t="s">
        <v>293</v>
      </c>
      <c r="Y12" s="113" t="s">
        <v>293</v>
      </c>
      <c r="Z12" s="113" t="s">
        <v>293</v>
      </c>
      <c r="AA12" s="113" t="s">
        <v>293</v>
      </c>
      <c r="AB12" s="113" t="s">
        <v>293</v>
      </c>
      <c r="AC12" s="114" t="s">
        <v>293</v>
      </c>
      <c r="AD12" s="114" t="s">
        <v>293</v>
      </c>
      <c r="AE12" s="114" t="s">
        <v>293</v>
      </c>
      <c r="AF12" s="114" t="s">
        <v>293</v>
      </c>
      <c r="AG12" s="113">
        <v>0</v>
      </c>
      <c r="AH12" s="107"/>
    </row>
    <row r="13" spans="1:34" x14ac:dyDescent="0.2">
      <c r="A13" s="112" t="s">
        <v>295</v>
      </c>
      <c r="B13" s="113" t="s">
        <v>289</v>
      </c>
      <c r="C13" s="113" t="s">
        <v>289</v>
      </c>
      <c r="D13" s="113" t="s">
        <v>289</v>
      </c>
      <c r="E13" s="113" t="s">
        <v>289</v>
      </c>
      <c r="F13" s="113" t="s">
        <v>289</v>
      </c>
      <c r="G13" s="113">
        <v>1.0445599999999999E-3</v>
      </c>
      <c r="H13" s="113">
        <v>3.2318872840999998E-4</v>
      </c>
      <c r="I13" s="113">
        <v>3.1858744741000001E-3</v>
      </c>
      <c r="J13" s="113">
        <v>5.1517602197799998E-3</v>
      </c>
      <c r="K13" s="113">
        <v>3.3917602197799999E-3</v>
      </c>
      <c r="L13" s="113">
        <v>4.7007892307699998E-3</v>
      </c>
      <c r="M13" s="113">
        <v>8.4696235076900002E-3</v>
      </c>
      <c r="N13" s="113">
        <v>1.5027623538459999E-2</v>
      </c>
      <c r="O13" s="113">
        <v>1.925265661538E-2</v>
      </c>
      <c r="P13" s="113">
        <v>2.5649172000000001E-2</v>
      </c>
      <c r="Q13" s="113">
        <v>3.628042567538E-2</v>
      </c>
      <c r="R13" s="113">
        <v>4.6569667263630002E-2</v>
      </c>
      <c r="S13" s="113">
        <v>5.43548419258E-2</v>
      </c>
      <c r="T13" s="113">
        <v>6.8740460062800005E-2</v>
      </c>
      <c r="U13" s="113">
        <v>7.8918579421199994E-2</v>
      </c>
      <c r="V13" s="113">
        <v>7.8649263858640003E-2</v>
      </c>
      <c r="W13" s="113">
        <v>8.7930870149050003E-2</v>
      </c>
      <c r="X13" s="113">
        <v>0.10423939266971</v>
      </c>
      <c r="Y13" s="113">
        <v>0.11120284443649001</v>
      </c>
      <c r="Z13" s="113">
        <v>0.11673361514871</v>
      </c>
      <c r="AA13" s="113">
        <v>0.11825388220806</v>
      </c>
      <c r="AB13" s="113">
        <v>0.14166149538402001</v>
      </c>
      <c r="AC13" s="114">
        <v>0.16440804368862999</v>
      </c>
      <c r="AD13" s="114">
        <v>0.18190070377258</v>
      </c>
      <c r="AE13" s="114">
        <v>0.21280470111356001</v>
      </c>
      <c r="AF13" s="114">
        <v>0.20558453709155999</v>
      </c>
      <c r="AG13" s="113">
        <v>100</v>
      </c>
      <c r="AH13" s="107"/>
    </row>
    <row r="14" spans="1:34" x14ac:dyDescent="0.2">
      <c r="A14" s="112" t="s">
        <v>296</v>
      </c>
      <c r="B14" s="113" t="s">
        <v>293</v>
      </c>
      <c r="C14" s="113" t="s">
        <v>293</v>
      </c>
      <c r="D14" s="113" t="s">
        <v>293</v>
      </c>
      <c r="E14" s="113" t="s">
        <v>293</v>
      </c>
      <c r="F14" s="113" t="s">
        <v>293</v>
      </c>
      <c r="G14" s="113" t="s">
        <v>293</v>
      </c>
      <c r="H14" s="113" t="s">
        <v>293</v>
      </c>
      <c r="I14" s="113" t="s">
        <v>293</v>
      </c>
      <c r="J14" s="113" t="s">
        <v>293</v>
      </c>
      <c r="K14" s="113" t="s">
        <v>293</v>
      </c>
      <c r="L14" s="113" t="s">
        <v>293</v>
      </c>
      <c r="M14" s="113" t="s">
        <v>293</v>
      </c>
      <c r="N14" s="113" t="s">
        <v>293</v>
      </c>
      <c r="O14" s="113" t="s">
        <v>293</v>
      </c>
      <c r="P14" s="113" t="s">
        <v>293</v>
      </c>
      <c r="Q14" s="113" t="s">
        <v>293</v>
      </c>
      <c r="R14" s="113" t="s">
        <v>293</v>
      </c>
      <c r="S14" s="113" t="s">
        <v>293</v>
      </c>
      <c r="T14" s="113" t="s">
        <v>293</v>
      </c>
      <c r="U14" s="113" t="s">
        <v>293</v>
      </c>
      <c r="V14" s="113" t="s">
        <v>293</v>
      </c>
      <c r="W14" s="113" t="s">
        <v>293</v>
      </c>
      <c r="X14" s="113" t="s">
        <v>293</v>
      </c>
      <c r="Y14" s="113" t="s">
        <v>293</v>
      </c>
      <c r="Z14" s="113" t="s">
        <v>293</v>
      </c>
      <c r="AA14" s="113" t="s">
        <v>293</v>
      </c>
      <c r="AB14" s="113" t="s">
        <v>293</v>
      </c>
      <c r="AC14" s="114" t="s">
        <v>293</v>
      </c>
      <c r="AD14" s="114" t="s">
        <v>293</v>
      </c>
      <c r="AE14" s="114" t="s">
        <v>293</v>
      </c>
      <c r="AF14" s="114" t="s">
        <v>293</v>
      </c>
      <c r="AG14" s="113">
        <v>0</v>
      </c>
      <c r="AH14" s="107"/>
    </row>
    <row r="15" spans="1:34" x14ac:dyDescent="0.2">
      <c r="A15" s="112" t="s">
        <v>297</v>
      </c>
      <c r="B15" s="113" t="s">
        <v>289</v>
      </c>
      <c r="C15" s="113" t="s">
        <v>289</v>
      </c>
      <c r="D15" s="113" t="s">
        <v>289</v>
      </c>
      <c r="E15" s="113">
        <v>2.0000000000000001E-4</v>
      </c>
      <c r="F15" s="113">
        <v>2.5000000000000001E-4</v>
      </c>
      <c r="G15" s="113">
        <v>2.3350503052300001E-3</v>
      </c>
      <c r="H15" s="113">
        <v>1.260177593602E-2</v>
      </c>
      <c r="I15" s="113">
        <v>2.8905737438089999E-2</v>
      </c>
      <c r="J15" s="113">
        <v>4.3215232850159997E-2</v>
      </c>
      <c r="K15" s="113">
        <v>5.6199313696200001E-2</v>
      </c>
      <c r="L15" s="113">
        <v>8.1472371503859997E-2</v>
      </c>
      <c r="M15" s="113">
        <v>0.10880288805641999</v>
      </c>
      <c r="N15" s="113">
        <v>0.13293506491619</v>
      </c>
      <c r="O15" s="113">
        <v>0.17130776909968001</v>
      </c>
      <c r="P15" s="113">
        <v>0.19718302212364999</v>
      </c>
      <c r="Q15" s="113">
        <v>0.20955187847673001</v>
      </c>
      <c r="R15" s="113">
        <v>0.23629870353006999</v>
      </c>
      <c r="S15" s="113">
        <v>0.25503017818265999</v>
      </c>
      <c r="T15" s="113">
        <v>0.26864691046577999</v>
      </c>
      <c r="U15" s="113">
        <v>0.29323052253282</v>
      </c>
      <c r="V15" s="113">
        <v>0.28120617851135998</v>
      </c>
      <c r="W15" s="113">
        <v>0.28206229657377002</v>
      </c>
      <c r="X15" s="113">
        <v>0.31739856342099998</v>
      </c>
      <c r="Y15" s="113">
        <v>0.32437325099473002</v>
      </c>
      <c r="Z15" s="113">
        <v>0.32978568796606</v>
      </c>
      <c r="AA15" s="113">
        <v>0.33857618340883999</v>
      </c>
      <c r="AB15" s="113">
        <v>0.35350386480277002</v>
      </c>
      <c r="AC15" s="114">
        <v>0.36534420028421</v>
      </c>
      <c r="AD15" s="114">
        <v>0.38423256273081002</v>
      </c>
      <c r="AE15" s="114">
        <v>0.39991494832987001</v>
      </c>
      <c r="AF15" s="114">
        <v>0.38723098429719999</v>
      </c>
      <c r="AG15" s="113">
        <v>100</v>
      </c>
      <c r="AH15" s="107"/>
    </row>
    <row r="16" spans="1:34" x14ac:dyDescent="0.2">
      <c r="A16" s="112" t="s">
        <v>298</v>
      </c>
      <c r="B16" s="113" t="s">
        <v>293</v>
      </c>
      <c r="C16" s="113" t="s">
        <v>293</v>
      </c>
      <c r="D16" s="113" t="s">
        <v>293</v>
      </c>
      <c r="E16" s="113" t="s">
        <v>293</v>
      </c>
      <c r="F16" s="113" t="s">
        <v>293</v>
      </c>
      <c r="G16" s="113" t="s">
        <v>293</v>
      </c>
      <c r="H16" s="113" t="s">
        <v>293</v>
      </c>
      <c r="I16" s="113" t="s">
        <v>293</v>
      </c>
      <c r="J16" s="113" t="s">
        <v>293</v>
      </c>
      <c r="K16" s="113" t="s">
        <v>293</v>
      </c>
      <c r="L16" s="113" t="s">
        <v>293</v>
      </c>
      <c r="M16" s="113" t="s">
        <v>293</v>
      </c>
      <c r="N16" s="113" t="s">
        <v>293</v>
      </c>
      <c r="O16" s="113" t="s">
        <v>293</v>
      </c>
      <c r="P16" s="113" t="s">
        <v>293</v>
      </c>
      <c r="Q16" s="113" t="s">
        <v>293</v>
      </c>
      <c r="R16" s="113" t="s">
        <v>293</v>
      </c>
      <c r="S16" s="113" t="s">
        <v>293</v>
      </c>
      <c r="T16" s="113" t="s">
        <v>293</v>
      </c>
      <c r="U16" s="113" t="s">
        <v>293</v>
      </c>
      <c r="V16" s="113" t="s">
        <v>293</v>
      </c>
      <c r="W16" s="113" t="s">
        <v>293</v>
      </c>
      <c r="X16" s="113" t="s">
        <v>293</v>
      </c>
      <c r="Y16" s="113" t="s">
        <v>293</v>
      </c>
      <c r="Z16" s="113" t="s">
        <v>293</v>
      </c>
      <c r="AA16" s="113" t="s">
        <v>293</v>
      </c>
      <c r="AB16" s="113" t="s">
        <v>293</v>
      </c>
      <c r="AC16" s="114" t="s">
        <v>293</v>
      </c>
      <c r="AD16" s="114" t="s">
        <v>293</v>
      </c>
      <c r="AE16" s="114" t="s">
        <v>293</v>
      </c>
      <c r="AF16" s="114" t="s">
        <v>293</v>
      </c>
      <c r="AG16" s="113">
        <v>0</v>
      </c>
      <c r="AH16" s="107"/>
    </row>
    <row r="17" spans="1:34" x14ac:dyDescent="0.2">
      <c r="A17" s="112" t="s">
        <v>299</v>
      </c>
      <c r="B17" s="113" t="s">
        <v>289</v>
      </c>
      <c r="C17" s="113" t="s">
        <v>289</v>
      </c>
      <c r="D17" s="113" t="s">
        <v>289</v>
      </c>
      <c r="E17" s="113" t="s">
        <v>289</v>
      </c>
      <c r="F17" s="113" t="s">
        <v>289</v>
      </c>
      <c r="G17" s="113">
        <v>1.7448E-4</v>
      </c>
      <c r="H17" s="113">
        <v>1.12648E-3</v>
      </c>
      <c r="I17" s="113">
        <v>2.2573599999999999E-3</v>
      </c>
      <c r="J17" s="113">
        <v>3.2558399999999999E-3</v>
      </c>
      <c r="K17" s="113">
        <v>6.4658399999999996E-3</v>
      </c>
      <c r="L17" s="113">
        <v>9.7548400000000007E-3</v>
      </c>
      <c r="M17" s="113">
        <v>1.0477419999999999E-2</v>
      </c>
      <c r="N17" s="113">
        <v>1.231642E-2</v>
      </c>
      <c r="O17" s="113">
        <v>1.9130456000000001E-2</v>
      </c>
      <c r="P17" s="113">
        <v>2.8563895999999998E-2</v>
      </c>
      <c r="Q17" s="113">
        <v>3.3745303079999997E-2</v>
      </c>
      <c r="R17" s="113">
        <v>4.1988562384290003E-2</v>
      </c>
      <c r="S17" s="113">
        <v>5.1069972268590003E-2</v>
      </c>
      <c r="T17" s="113">
        <v>6.0508312088880002E-2</v>
      </c>
      <c r="U17" s="113">
        <v>6.7253903189179995E-2</v>
      </c>
      <c r="V17" s="113">
        <v>6.7623790889470001E-2</v>
      </c>
      <c r="W17" s="113">
        <v>7.201059046977E-2</v>
      </c>
      <c r="X17" s="113">
        <v>7.3785167476929994E-2</v>
      </c>
      <c r="Y17" s="113">
        <v>7.5783347690520003E-2</v>
      </c>
      <c r="Z17" s="113">
        <v>8.3348247147650004E-2</v>
      </c>
      <c r="AA17" s="113">
        <v>8.347308994765E-2</v>
      </c>
      <c r="AB17" s="113">
        <v>8.5558056523349996E-2</v>
      </c>
      <c r="AC17" s="114">
        <v>9.1500912919059998E-2</v>
      </c>
      <c r="AD17" s="114">
        <v>9.0354206338759999E-2</v>
      </c>
      <c r="AE17" s="114">
        <v>9.4627434738470004E-2</v>
      </c>
      <c r="AF17" s="114">
        <v>7.7867622178170004E-2</v>
      </c>
      <c r="AG17" s="113">
        <v>100</v>
      </c>
      <c r="AH17" s="107"/>
    </row>
    <row r="18" spans="1:34" x14ac:dyDescent="0.2">
      <c r="A18" s="112" t="s">
        <v>300</v>
      </c>
      <c r="B18" s="113" t="s">
        <v>293</v>
      </c>
      <c r="C18" s="113" t="s">
        <v>293</v>
      </c>
      <c r="D18" s="113" t="s">
        <v>293</v>
      </c>
      <c r="E18" s="113" t="s">
        <v>293</v>
      </c>
      <c r="F18" s="113" t="s">
        <v>293</v>
      </c>
      <c r="G18" s="113" t="s">
        <v>293</v>
      </c>
      <c r="H18" s="113" t="s">
        <v>293</v>
      </c>
      <c r="I18" s="113" t="s">
        <v>293</v>
      </c>
      <c r="J18" s="113" t="s">
        <v>293</v>
      </c>
      <c r="K18" s="113" t="s">
        <v>293</v>
      </c>
      <c r="L18" s="113" t="s">
        <v>293</v>
      </c>
      <c r="M18" s="113" t="s">
        <v>293</v>
      </c>
      <c r="N18" s="113" t="s">
        <v>293</v>
      </c>
      <c r="O18" s="113" t="s">
        <v>293</v>
      </c>
      <c r="P18" s="113" t="s">
        <v>293</v>
      </c>
      <c r="Q18" s="113" t="s">
        <v>293</v>
      </c>
      <c r="R18" s="113" t="s">
        <v>293</v>
      </c>
      <c r="S18" s="113" t="s">
        <v>293</v>
      </c>
      <c r="T18" s="113" t="s">
        <v>293</v>
      </c>
      <c r="U18" s="113" t="s">
        <v>293</v>
      </c>
      <c r="V18" s="113" t="s">
        <v>293</v>
      </c>
      <c r="W18" s="113" t="s">
        <v>293</v>
      </c>
      <c r="X18" s="113" t="s">
        <v>293</v>
      </c>
      <c r="Y18" s="113" t="s">
        <v>293</v>
      </c>
      <c r="Z18" s="113" t="s">
        <v>293</v>
      </c>
      <c r="AA18" s="113" t="s">
        <v>293</v>
      </c>
      <c r="AB18" s="113" t="s">
        <v>293</v>
      </c>
      <c r="AC18" s="114" t="s">
        <v>293</v>
      </c>
      <c r="AD18" s="114" t="s">
        <v>293</v>
      </c>
      <c r="AE18" s="114" t="s">
        <v>293</v>
      </c>
      <c r="AF18" s="114" t="s">
        <v>293</v>
      </c>
      <c r="AG18" s="113">
        <v>0</v>
      </c>
      <c r="AH18" s="107"/>
    </row>
    <row r="19" spans="1:34" x14ac:dyDescent="0.2">
      <c r="A19" s="112" t="s">
        <v>301</v>
      </c>
      <c r="B19" s="113" t="s">
        <v>289</v>
      </c>
      <c r="C19" s="113" t="s">
        <v>289</v>
      </c>
      <c r="D19" s="113" t="s">
        <v>289</v>
      </c>
      <c r="E19" s="113" t="s">
        <v>289</v>
      </c>
      <c r="F19" s="113" t="s">
        <v>289</v>
      </c>
      <c r="G19" s="113">
        <v>4.0000000000000002E-4</v>
      </c>
      <c r="H19" s="113">
        <v>1.1999999999999999E-3</v>
      </c>
      <c r="I19" s="113">
        <v>4.0000000000000002E-4</v>
      </c>
      <c r="J19" s="113">
        <v>2.4000000000000001E-4</v>
      </c>
      <c r="K19" s="113">
        <v>4.0000000000000002E-4</v>
      </c>
      <c r="L19" s="113">
        <v>1.6731999999999999E-3</v>
      </c>
      <c r="M19" s="113" t="s">
        <v>289</v>
      </c>
      <c r="N19" s="113">
        <v>9.1E-4</v>
      </c>
      <c r="O19" s="113" t="s">
        <v>289</v>
      </c>
      <c r="P19" s="113" t="s">
        <v>289</v>
      </c>
      <c r="Q19" s="113" t="s">
        <v>289</v>
      </c>
      <c r="R19" s="113" t="s">
        <v>289</v>
      </c>
      <c r="S19" s="113" t="s">
        <v>289</v>
      </c>
      <c r="T19" s="113" t="s">
        <v>289</v>
      </c>
      <c r="U19" s="113" t="s">
        <v>289</v>
      </c>
      <c r="V19" s="113" t="s">
        <v>289</v>
      </c>
      <c r="W19" s="113" t="s">
        <v>289</v>
      </c>
      <c r="X19" s="113" t="s">
        <v>289</v>
      </c>
      <c r="Y19" s="113" t="s">
        <v>289</v>
      </c>
      <c r="Z19" s="113" t="s">
        <v>289</v>
      </c>
      <c r="AA19" s="113" t="s">
        <v>289</v>
      </c>
      <c r="AB19" s="113">
        <v>2.5000000000000001E-4</v>
      </c>
      <c r="AC19" s="114">
        <v>5.0000000000000001E-4</v>
      </c>
      <c r="AD19" s="114">
        <v>5.0000000000000001E-4</v>
      </c>
      <c r="AE19" s="114">
        <v>5.0000000000000001E-4</v>
      </c>
      <c r="AF19" s="114">
        <v>5.0000000000000001E-4</v>
      </c>
      <c r="AG19" s="113">
        <v>100</v>
      </c>
      <c r="AH19" s="107"/>
    </row>
    <row r="20" spans="1:34" x14ac:dyDescent="0.2">
      <c r="A20" s="112" t="s">
        <v>302</v>
      </c>
      <c r="B20" s="113" t="s">
        <v>293</v>
      </c>
      <c r="C20" s="113" t="s">
        <v>293</v>
      </c>
      <c r="D20" s="113" t="s">
        <v>293</v>
      </c>
      <c r="E20" s="113" t="s">
        <v>293</v>
      </c>
      <c r="F20" s="113" t="s">
        <v>293</v>
      </c>
      <c r="G20" s="113" t="s">
        <v>293</v>
      </c>
      <c r="H20" s="113" t="s">
        <v>293</v>
      </c>
      <c r="I20" s="113" t="s">
        <v>293</v>
      </c>
      <c r="J20" s="113" t="s">
        <v>293</v>
      </c>
      <c r="K20" s="113" t="s">
        <v>293</v>
      </c>
      <c r="L20" s="113" t="s">
        <v>293</v>
      </c>
      <c r="M20" s="113" t="s">
        <v>293</v>
      </c>
      <c r="N20" s="113" t="s">
        <v>293</v>
      </c>
      <c r="O20" s="113" t="s">
        <v>293</v>
      </c>
      <c r="P20" s="113" t="s">
        <v>293</v>
      </c>
      <c r="Q20" s="113" t="s">
        <v>293</v>
      </c>
      <c r="R20" s="113" t="s">
        <v>293</v>
      </c>
      <c r="S20" s="113" t="s">
        <v>293</v>
      </c>
      <c r="T20" s="113" t="s">
        <v>293</v>
      </c>
      <c r="U20" s="113" t="s">
        <v>293</v>
      </c>
      <c r="V20" s="113" t="s">
        <v>293</v>
      </c>
      <c r="W20" s="113" t="s">
        <v>293</v>
      </c>
      <c r="X20" s="113" t="s">
        <v>293</v>
      </c>
      <c r="Y20" s="113" t="s">
        <v>293</v>
      </c>
      <c r="Z20" s="113" t="s">
        <v>293</v>
      </c>
      <c r="AA20" s="113" t="s">
        <v>293</v>
      </c>
      <c r="AB20" s="113" t="s">
        <v>293</v>
      </c>
      <c r="AC20" s="114" t="s">
        <v>293</v>
      </c>
      <c r="AD20" s="114" t="s">
        <v>293</v>
      </c>
      <c r="AE20" s="114" t="s">
        <v>293</v>
      </c>
      <c r="AF20" s="114" t="s">
        <v>293</v>
      </c>
      <c r="AG20" s="113">
        <v>0</v>
      </c>
      <c r="AH20" s="107"/>
    </row>
    <row r="21" spans="1:34" x14ac:dyDescent="0.2">
      <c r="A21" s="112" t="s">
        <v>303</v>
      </c>
      <c r="B21" s="113" t="s">
        <v>289</v>
      </c>
      <c r="C21" s="113" t="s">
        <v>289</v>
      </c>
      <c r="D21" s="113" t="s">
        <v>289</v>
      </c>
      <c r="E21" s="113" t="s">
        <v>289</v>
      </c>
      <c r="F21" s="113" t="s">
        <v>289</v>
      </c>
      <c r="G21" s="113">
        <v>2.4000000000000001E-5</v>
      </c>
      <c r="H21" s="113">
        <v>4.8000000000000001E-5</v>
      </c>
      <c r="I21" s="113">
        <v>6.7500000000000001E-5</v>
      </c>
      <c r="J21" s="113">
        <v>8.7067500000000006E-5</v>
      </c>
      <c r="K21" s="113">
        <v>1.067014875E-4</v>
      </c>
      <c r="L21" s="113">
        <v>1.3540096519000001E-4</v>
      </c>
      <c r="M21" s="113">
        <v>1.5066495070999999E-4</v>
      </c>
      <c r="N21" s="113">
        <v>1.6640497645E-4</v>
      </c>
      <c r="O21" s="113">
        <v>1.969089018E-4</v>
      </c>
      <c r="P21" s="113">
        <v>2.2695526828000001E-4</v>
      </c>
      <c r="Q21" s="113">
        <v>2.5647593924999997E-4</v>
      </c>
      <c r="R21" s="113">
        <v>2.9216880015999998E-4</v>
      </c>
      <c r="S21" s="113">
        <v>3.2900626816000002E-4</v>
      </c>
      <c r="T21" s="113">
        <v>3.5987617414000002E-4</v>
      </c>
      <c r="U21" s="113">
        <v>3.9917803153E-4</v>
      </c>
      <c r="V21" s="113">
        <v>4.3610536105000001E-4</v>
      </c>
      <c r="W21" s="113">
        <v>5.4900878064000004E-4</v>
      </c>
      <c r="X21" s="113">
        <v>1.88649281393E-3</v>
      </c>
      <c r="Y21" s="113">
        <v>3.25246513269E-3</v>
      </c>
      <c r="Z21" s="113">
        <v>3.32430101788E-3</v>
      </c>
      <c r="AA21" s="113">
        <v>3.3588273218100001E-3</v>
      </c>
      <c r="AB21" s="113">
        <v>3.4827580242299998E-3</v>
      </c>
      <c r="AC21" s="114">
        <v>3.4576851200899998E-3</v>
      </c>
      <c r="AD21" s="114">
        <v>3.3545377067900001E-3</v>
      </c>
      <c r="AE21" s="114">
        <v>3.19016812482E-3</v>
      </c>
      <c r="AF21" s="114">
        <v>3.0266473387899999E-3</v>
      </c>
      <c r="AG21" s="113">
        <v>100</v>
      </c>
      <c r="AH21" s="107"/>
    </row>
    <row r="22" spans="1:34" x14ac:dyDescent="0.2">
      <c r="A22" s="112" t="s">
        <v>304</v>
      </c>
      <c r="B22" s="113" t="s">
        <v>293</v>
      </c>
      <c r="C22" s="113" t="s">
        <v>293</v>
      </c>
      <c r="D22" s="113" t="s">
        <v>293</v>
      </c>
      <c r="E22" s="113" t="s">
        <v>293</v>
      </c>
      <c r="F22" s="113" t="s">
        <v>293</v>
      </c>
      <c r="G22" s="113" t="s">
        <v>293</v>
      </c>
      <c r="H22" s="113" t="s">
        <v>293</v>
      </c>
      <c r="I22" s="113" t="s">
        <v>293</v>
      </c>
      <c r="J22" s="113" t="s">
        <v>293</v>
      </c>
      <c r="K22" s="113" t="s">
        <v>293</v>
      </c>
      <c r="L22" s="113" t="s">
        <v>293</v>
      </c>
      <c r="M22" s="113" t="s">
        <v>293</v>
      </c>
      <c r="N22" s="113" t="s">
        <v>293</v>
      </c>
      <c r="O22" s="113" t="s">
        <v>293</v>
      </c>
      <c r="P22" s="113" t="s">
        <v>293</v>
      </c>
      <c r="Q22" s="113" t="s">
        <v>293</v>
      </c>
      <c r="R22" s="113" t="s">
        <v>293</v>
      </c>
      <c r="S22" s="113" t="s">
        <v>293</v>
      </c>
      <c r="T22" s="113" t="s">
        <v>293</v>
      </c>
      <c r="U22" s="113" t="s">
        <v>293</v>
      </c>
      <c r="V22" s="113" t="s">
        <v>293</v>
      </c>
      <c r="W22" s="113" t="s">
        <v>293</v>
      </c>
      <c r="X22" s="113" t="s">
        <v>293</v>
      </c>
      <c r="Y22" s="113" t="s">
        <v>293</v>
      </c>
      <c r="Z22" s="113" t="s">
        <v>293</v>
      </c>
      <c r="AA22" s="113" t="s">
        <v>293</v>
      </c>
      <c r="AB22" s="113" t="s">
        <v>293</v>
      </c>
      <c r="AC22" s="114" t="s">
        <v>293</v>
      </c>
      <c r="AD22" s="114" t="s">
        <v>293</v>
      </c>
      <c r="AE22" s="114" t="s">
        <v>293</v>
      </c>
      <c r="AF22" s="114" t="s">
        <v>293</v>
      </c>
      <c r="AG22" s="113">
        <v>0</v>
      </c>
      <c r="AH22" s="107"/>
    </row>
    <row r="23" spans="1:34" x14ac:dyDescent="0.2">
      <c r="A23" s="112" t="s">
        <v>305</v>
      </c>
      <c r="B23" s="113" t="s">
        <v>293</v>
      </c>
      <c r="C23" s="113" t="s">
        <v>293</v>
      </c>
      <c r="D23" s="113" t="s">
        <v>293</v>
      </c>
      <c r="E23" s="113" t="s">
        <v>293</v>
      </c>
      <c r="F23" s="113" t="s">
        <v>293</v>
      </c>
      <c r="G23" s="113" t="s">
        <v>293</v>
      </c>
      <c r="H23" s="113" t="s">
        <v>293</v>
      </c>
      <c r="I23" s="113" t="s">
        <v>293</v>
      </c>
      <c r="J23" s="113" t="s">
        <v>293</v>
      </c>
      <c r="K23" s="113" t="s">
        <v>293</v>
      </c>
      <c r="L23" s="113" t="s">
        <v>293</v>
      </c>
      <c r="M23" s="113" t="s">
        <v>293</v>
      </c>
      <c r="N23" s="113" t="s">
        <v>293</v>
      </c>
      <c r="O23" s="113" t="s">
        <v>293</v>
      </c>
      <c r="P23" s="113" t="s">
        <v>293</v>
      </c>
      <c r="Q23" s="113" t="s">
        <v>293</v>
      </c>
      <c r="R23" s="113" t="s">
        <v>293</v>
      </c>
      <c r="S23" s="113" t="s">
        <v>293</v>
      </c>
      <c r="T23" s="113" t="s">
        <v>293</v>
      </c>
      <c r="U23" s="113" t="s">
        <v>293</v>
      </c>
      <c r="V23" s="113" t="s">
        <v>293</v>
      </c>
      <c r="W23" s="113" t="s">
        <v>293</v>
      </c>
      <c r="X23" s="113" t="s">
        <v>293</v>
      </c>
      <c r="Y23" s="113" t="s">
        <v>293</v>
      </c>
      <c r="Z23" s="113" t="s">
        <v>293</v>
      </c>
      <c r="AA23" s="113" t="s">
        <v>293</v>
      </c>
      <c r="AB23" s="113" t="s">
        <v>293</v>
      </c>
      <c r="AC23" s="114" t="s">
        <v>293</v>
      </c>
      <c r="AD23" s="114" t="s">
        <v>293</v>
      </c>
      <c r="AE23" s="114" t="s">
        <v>293</v>
      </c>
      <c r="AF23" s="114" t="s">
        <v>293</v>
      </c>
      <c r="AG23" s="113">
        <v>0</v>
      </c>
      <c r="AH23" s="107"/>
    </row>
    <row r="24" spans="1:34" x14ac:dyDescent="0.2">
      <c r="A24" s="112" t="s">
        <v>306</v>
      </c>
      <c r="B24" s="113" t="s">
        <v>293</v>
      </c>
      <c r="C24" s="113" t="s">
        <v>293</v>
      </c>
      <c r="D24" s="113" t="s">
        <v>293</v>
      </c>
      <c r="E24" s="113" t="s">
        <v>293</v>
      </c>
      <c r="F24" s="113" t="s">
        <v>293</v>
      </c>
      <c r="G24" s="113" t="s">
        <v>293</v>
      </c>
      <c r="H24" s="113" t="s">
        <v>293</v>
      </c>
      <c r="I24" s="113" t="s">
        <v>293</v>
      </c>
      <c r="J24" s="113" t="s">
        <v>293</v>
      </c>
      <c r="K24" s="113" t="s">
        <v>293</v>
      </c>
      <c r="L24" s="113" t="s">
        <v>293</v>
      </c>
      <c r="M24" s="113" t="s">
        <v>293</v>
      </c>
      <c r="N24" s="113" t="s">
        <v>293</v>
      </c>
      <c r="O24" s="113" t="s">
        <v>293</v>
      </c>
      <c r="P24" s="113" t="s">
        <v>293</v>
      </c>
      <c r="Q24" s="113" t="s">
        <v>293</v>
      </c>
      <c r="R24" s="113" t="s">
        <v>293</v>
      </c>
      <c r="S24" s="113" t="s">
        <v>293</v>
      </c>
      <c r="T24" s="113" t="s">
        <v>293</v>
      </c>
      <c r="U24" s="113" t="s">
        <v>293</v>
      </c>
      <c r="V24" s="113" t="s">
        <v>293</v>
      </c>
      <c r="W24" s="113" t="s">
        <v>293</v>
      </c>
      <c r="X24" s="113" t="s">
        <v>293</v>
      </c>
      <c r="Y24" s="113" t="s">
        <v>293</v>
      </c>
      <c r="Z24" s="113" t="s">
        <v>293</v>
      </c>
      <c r="AA24" s="113" t="s">
        <v>293</v>
      </c>
      <c r="AB24" s="113" t="s">
        <v>293</v>
      </c>
      <c r="AC24" s="114" t="s">
        <v>293</v>
      </c>
      <c r="AD24" s="114" t="s">
        <v>293</v>
      </c>
      <c r="AE24" s="114" t="s">
        <v>293</v>
      </c>
      <c r="AF24" s="114" t="s">
        <v>293</v>
      </c>
      <c r="AG24" s="113">
        <v>0</v>
      </c>
      <c r="AH24" s="107"/>
    </row>
    <row r="25" spans="1:34" x14ac:dyDescent="0.2">
      <c r="A25" s="112" t="s">
        <v>307</v>
      </c>
      <c r="B25" s="113" t="s">
        <v>293</v>
      </c>
      <c r="C25" s="113" t="s">
        <v>293</v>
      </c>
      <c r="D25" s="113" t="s">
        <v>293</v>
      </c>
      <c r="E25" s="113" t="s">
        <v>293</v>
      </c>
      <c r="F25" s="113" t="s">
        <v>293</v>
      </c>
      <c r="G25" s="113" t="s">
        <v>293</v>
      </c>
      <c r="H25" s="113" t="s">
        <v>293</v>
      </c>
      <c r="I25" s="113" t="s">
        <v>293</v>
      </c>
      <c r="J25" s="113" t="s">
        <v>293</v>
      </c>
      <c r="K25" s="113" t="s">
        <v>293</v>
      </c>
      <c r="L25" s="113" t="s">
        <v>293</v>
      </c>
      <c r="M25" s="113" t="s">
        <v>293</v>
      </c>
      <c r="N25" s="113" t="s">
        <v>293</v>
      </c>
      <c r="O25" s="113" t="s">
        <v>293</v>
      </c>
      <c r="P25" s="113" t="s">
        <v>293</v>
      </c>
      <c r="Q25" s="113" t="s">
        <v>293</v>
      </c>
      <c r="R25" s="113" t="s">
        <v>293</v>
      </c>
      <c r="S25" s="113" t="s">
        <v>293</v>
      </c>
      <c r="T25" s="113" t="s">
        <v>293</v>
      </c>
      <c r="U25" s="113" t="s">
        <v>293</v>
      </c>
      <c r="V25" s="113" t="s">
        <v>293</v>
      </c>
      <c r="W25" s="113" t="s">
        <v>293</v>
      </c>
      <c r="X25" s="113" t="s">
        <v>293</v>
      </c>
      <c r="Y25" s="113" t="s">
        <v>293</v>
      </c>
      <c r="Z25" s="113" t="s">
        <v>293</v>
      </c>
      <c r="AA25" s="113" t="s">
        <v>293</v>
      </c>
      <c r="AB25" s="113" t="s">
        <v>293</v>
      </c>
      <c r="AC25" s="114" t="s">
        <v>293</v>
      </c>
      <c r="AD25" s="114" t="s">
        <v>293</v>
      </c>
      <c r="AE25" s="114" t="s">
        <v>293</v>
      </c>
      <c r="AF25" s="114" t="s">
        <v>293</v>
      </c>
      <c r="AG25" s="113">
        <v>0</v>
      </c>
      <c r="AH25" s="107"/>
    </row>
    <row r="26" spans="1:34" x14ac:dyDescent="0.2">
      <c r="A26" s="112" t="s">
        <v>308</v>
      </c>
      <c r="B26" s="113" t="s">
        <v>289</v>
      </c>
      <c r="C26" s="113" t="s">
        <v>289</v>
      </c>
      <c r="D26" s="113" t="s">
        <v>289</v>
      </c>
      <c r="E26" s="113" t="s">
        <v>289</v>
      </c>
      <c r="F26" s="113" t="s">
        <v>289</v>
      </c>
      <c r="G26" s="113" t="s">
        <v>289</v>
      </c>
      <c r="H26" s="113" t="s">
        <v>289</v>
      </c>
      <c r="I26" s="113" t="s">
        <v>289</v>
      </c>
      <c r="J26" s="113" t="s">
        <v>289</v>
      </c>
      <c r="K26" s="113" t="s">
        <v>289</v>
      </c>
      <c r="L26" s="113" t="s">
        <v>289</v>
      </c>
      <c r="M26" s="113" t="s">
        <v>289</v>
      </c>
      <c r="N26" s="113" t="s">
        <v>289</v>
      </c>
      <c r="O26" s="113" t="s">
        <v>289</v>
      </c>
      <c r="P26" s="113" t="s">
        <v>289</v>
      </c>
      <c r="Q26" s="113">
        <v>8.0084650000000006E-5</v>
      </c>
      <c r="R26" s="113">
        <v>1.8359180000000001E-4</v>
      </c>
      <c r="S26" s="113">
        <v>2.9815095000000001E-4</v>
      </c>
      <c r="T26" s="113">
        <v>3.7337070000000001E-4</v>
      </c>
      <c r="U26" s="113">
        <v>4.5727574999999997E-4</v>
      </c>
      <c r="V26" s="113">
        <v>3.9631064999999998E-4</v>
      </c>
      <c r="W26" s="113">
        <v>5.7508739999999998E-4</v>
      </c>
      <c r="X26" s="113">
        <v>7.2446985000000001E-4</v>
      </c>
      <c r="Y26" s="113">
        <v>8.6028630000000003E-4</v>
      </c>
      <c r="Z26" s="113">
        <v>9.9307525000000003E-4</v>
      </c>
      <c r="AA26" s="113">
        <v>1.3706694500000001E-3</v>
      </c>
      <c r="AB26" s="113">
        <v>1.56309485E-3</v>
      </c>
      <c r="AC26" s="114">
        <v>2.0066577E-3</v>
      </c>
      <c r="AD26" s="114">
        <v>2.3023833E-3</v>
      </c>
      <c r="AE26" s="114">
        <v>2.5642356499999998E-3</v>
      </c>
      <c r="AF26" s="114">
        <v>3.1248620500000002E-3</v>
      </c>
      <c r="AG26" s="113">
        <v>100</v>
      </c>
      <c r="AH26" s="107"/>
    </row>
    <row r="27" spans="1:34" x14ac:dyDescent="0.2">
      <c r="A27" s="112" t="s">
        <v>309</v>
      </c>
      <c r="B27" s="113" t="s">
        <v>289</v>
      </c>
      <c r="C27" s="113" t="s">
        <v>289</v>
      </c>
      <c r="D27" s="113" t="s">
        <v>289</v>
      </c>
      <c r="E27" s="113" t="s">
        <v>289</v>
      </c>
      <c r="F27" s="113" t="s">
        <v>289</v>
      </c>
      <c r="G27" s="113" t="s">
        <v>289</v>
      </c>
      <c r="H27" s="113" t="s">
        <v>289</v>
      </c>
      <c r="I27" s="113" t="s">
        <v>289</v>
      </c>
      <c r="J27" s="113" t="s">
        <v>289</v>
      </c>
      <c r="K27" s="113" t="s">
        <v>289</v>
      </c>
      <c r="L27" s="113" t="s">
        <v>289</v>
      </c>
      <c r="M27" s="113" t="s">
        <v>289</v>
      </c>
      <c r="N27" s="113" t="s">
        <v>289</v>
      </c>
      <c r="O27" s="113" t="s">
        <v>289</v>
      </c>
      <c r="P27" s="113" t="s">
        <v>289</v>
      </c>
      <c r="Q27" s="113">
        <v>5.1E-5</v>
      </c>
      <c r="R27" s="113">
        <v>1.2495E-4</v>
      </c>
      <c r="S27" s="113">
        <v>2.2185E-4</v>
      </c>
      <c r="T27" s="113">
        <v>2.9070000000000002E-4</v>
      </c>
      <c r="U27" s="113">
        <v>3.7026000000000002E-4</v>
      </c>
      <c r="V27" s="113">
        <v>3.0163949999999998E-4</v>
      </c>
      <c r="W27" s="113">
        <v>9.4199850000000005E-4</v>
      </c>
      <c r="X27" s="113">
        <v>1.0909215000000001E-3</v>
      </c>
      <c r="Y27" s="113">
        <v>1.3825215E-3</v>
      </c>
      <c r="Z27" s="113">
        <v>1.7249324999999999E-3</v>
      </c>
      <c r="AA27" s="113">
        <v>2.0744654999999999E-3</v>
      </c>
      <c r="AB27" s="113">
        <v>2.1923505000000002E-3</v>
      </c>
      <c r="AC27" s="114">
        <v>2.66160945E-3</v>
      </c>
      <c r="AD27" s="114">
        <v>3.0382750499999998E-3</v>
      </c>
      <c r="AE27" s="114">
        <v>3.0896909999999999E-3</v>
      </c>
      <c r="AF27" s="114">
        <v>3.6359953499999998E-3</v>
      </c>
      <c r="AG27" s="113">
        <v>100</v>
      </c>
      <c r="AH27" s="107"/>
    </row>
    <row r="28" spans="1:34" ht="14.25" customHeight="1" x14ac:dyDescent="0.2">
      <c r="A28" s="112" t="s">
        <v>310</v>
      </c>
      <c r="B28" s="113" t="s">
        <v>293</v>
      </c>
      <c r="C28" s="113" t="s">
        <v>293</v>
      </c>
      <c r="D28" s="113" t="s">
        <v>293</v>
      </c>
      <c r="E28" s="113" t="s">
        <v>293</v>
      </c>
      <c r="F28" s="113" t="s">
        <v>293</v>
      </c>
      <c r="G28" s="113" t="s">
        <v>293</v>
      </c>
      <c r="H28" s="113" t="s">
        <v>293</v>
      </c>
      <c r="I28" s="113" t="s">
        <v>293</v>
      </c>
      <c r="J28" s="113" t="s">
        <v>293</v>
      </c>
      <c r="K28" s="113" t="s">
        <v>293</v>
      </c>
      <c r="L28" s="113" t="s">
        <v>293</v>
      </c>
      <c r="M28" s="113" t="s">
        <v>293</v>
      </c>
      <c r="N28" s="113" t="s">
        <v>293</v>
      </c>
      <c r="O28" s="113" t="s">
        <v>293</v>
      </c>
      <c r="P28" s="113" t="s">
        <v>293</v>
      </c>
      <c r="Q28" s="113" t="s">
        <v>293</v>
      </c>
      <c r="R28" s="113" t="s">
        <v>293</v>
      </c>
      <c r="S28" s="113" t="s">
        <v>293</v>
      </c>
      <c r="T28" s="113" t="s">
        <v>293</v>
      </c>
      <c r="U28" s="113" t="s">
        <v>293</v>
      </c>
      <c r="V28" s="113" t="s">
        <v>293</v>
      </c>
      <c r="W28" s="113" t="s">
        <v>293</v>
      </c>
      <c r="X28" s="113" t="s">
        <v>293</v>
      </c>
      <c r="Y28" s="113" t="s">
        <v>293</v>
      </c>
      <c r="Z28" s="113" t="s">
        <v>293</v>
      </c>
      <c r="AA28" s="113" t="s">
        <v>293</v>
      </c>
      <c r="AB28" s="113" t="s">
        <v>293</v>
      </c>
      <c r="AC28" s="114" t="s">
        <v>293</v>
      </c>
      <c r="AD28" s="114" t="s">
        <v>293</v>
      </c>
      <c r="AE28" s="114" t="s">
        <v>293</v>
      </c>
      <c r="AF28" s="114" t="s">
        <v>293</v>
      </c>
      <c r="AG28" s="113">
        <v>0</v>
      </c>
      <c r="AH28" s="107"/>
    </row>
    <row r="29" spans="1:34" ht="15" x14ac:dyDescent="0.2">
      <c r="A29" s="115" t="s">
        <v>311</v>
      </c>
      <c r="B29" s="110">
        <v>909.9493480000001</v>
      </c>
      <c r="C29" s="110">
        <v>909.9493480000001</v>
      </c>
      <c r="D29" s="110">
        <v>903.78987199999995</v>
      </c>
      <c r="E29" s="110">
        <v>461.87900000000002</v>
      </c>
      <c r="F29" s="110">
        <v>210.15700000000001</v>
      </c>
      <c r="G29" s="110">
        <v>186.178</v>
      </c>
      <c r="H29" s="110">
        <v>153.27699999999999</v>
      </c>
      <c r="I29" s="110">
        <v>278.98099999999999</v>
      </c>
      <c r="J29" s="110">
        <v>201.10571999999999</v>
      </c>
      <c r="K29" s="110">
        <v>151.38290000000001</v>
      </c>
      <c r="L29" s="110">
        <v>68.666600000000003</v>
      </c>
      <c r="M29" s="110">
        <v>67.609700000000004</v>
      </c>
      <c r="N29" s="110">
        <v>70.610299999999995</v>
      </c>
      <c r="O29" s="110">
        <v>84.484449999999995</v>
      </c>
      <c r="P29" s="110">
        <v>126.813</v>
      </c>
      <c r="Q29" s="110">
        <v>99.115250000000003</v>
      </c>
      <c r="R29" s="110">
        <v>69.379800000000003</v>
      </c>
      <c r="S29" s="110">
        <v>106.73165</v>
      </c>
      <c r="T29" s="110">
        <v>48.405459999999998</v>
      </c>
      <c r="U29" s="110">
        <v>45.467469999999999</v>
      </c>
      <c r="V29" s="110">
        <v>53.857970000000002</v>
      </c>
      <c r="W29" s="110">
        <v>47.561549999999997</v>
      </c>
      <c r="X29" s="110">
        <v>35.151732956845002</v>
      </c>
      <c r="Y29" s="110">
        <v>47.461606756948001</v>
      </c>
      <c r="Z29" s="110">
        <v>48.125254947889999</v>
      </c>
      <c r="AA29" s="110">
        <v>73.409788143055394</v>
      </c>
      <c r="AB29" s="110">
        <v>58.585213292659702</v>
      </c>
      <c r="AC29" s="110">
        <v>48.691416228473997</v>
      </c>
      <c r="AD29" s="110">
        <v>60.457723450000003</v>
      </c>
      <c r="AE29" s="110">
        <v>72.396164892824004</v>
      </c>
      <c r="AF29" s="110">
        <v>89.131613896000005</v>
      </c>
      <c r="AG29" s="110">
        <v>-90.204771936821999</v>
      </c>
      <c r="AH29" s="107"/>
    </row>
    <row r="30" spans="1:34" ht="13.5" x14ac:dyDescent="0.2">
      <c r="A30" s="112" t="s">
        <v>312</v>
      </c>
      <c r="B30" s="113">
        <v>0.1056332</v>
      </c>
      <c r="C30" s="113">
        <v>0.1056332</v>
      </c>
      <c r="D30" s="113">
        <v>0.1049648</v>
      </c>
      <c r="E30" s="113">
        <v>5.21E-2</v>
      </c>
      <c r="F30" s="113">
        <v>2.3699999999999999E-2</v>
      </c>
      <c r="G30" s="113">
        <v>2.1000000000000001E-2</v>
      </c>
      <c r="H30" s="113">
        <v>1.6500000000000001E-2</v>
      </c>
      <c r="I30" s="113">
        <v>2.6700000000000002E-2</v>
      </c>
      <c r="J30" s="113">
        <v>2.24E-2</v>
      </c>
      <c r="K30" s="113">
        <v>9.11E-3</v>
      </c>
      <c r="L30" s="113">
        <v>7.7400000000000004E-3</v>
      </c>
      <c r="M30" s="113">
        <v>7.6299999999999996E-3</v>
      </c>
      <c r="N30" s="113">
        <v>7.9699999999999997E-3</v>
      </c>
      <c r="O30" s="113">
        <v>8.4399999999999996E-3</v>
      </c>
      <c r="P30" s="113">
        <v>1.2500000000000001E-2</v>
      </c>
      <c r="Q30" s="113">
        <v>1.0200000000000001E-2</v>
      </c>
      <c r="R30" s="113">
        <v>7.8200000000000006E-3</v>
      </c>
      <c r="S30" s="113">
        <v>1.09E-2</v>
      </c>
      <c r="T30" s="113">
        <v>5.3E-3</v>
      </c>
      <c r="U30" s="113">
        <v>4.79E-3</v>
      </c>
      <c r="V30" s="113">
        <v>5.8900000000000003E-3</v>
      </c>
      <c r="W30" s="113">
        <v>5.3309999999999998E-3</v>
      </c>
      <c r="X30" s="113">
        <v>3.9643849244999996E-3</v>
      </c>
      <c r="Y30" s="113">
        <v>5.3528297108000004E-3</v>
      </c>
      <c r="Z30" s="113">
        <v>5.4275196689999999E-3</v>
      </c>
      <c r="AA30" s="113">
        <v>8.2791521670000003E-3</v>
      </c>
      <c r="AB30" s="113">
        <v>6.6072304283699996E-3</v>
      </c>
      <c r="AC30" s="114">
        <v>5.4913698554000002E-3</v>
      </c>
      <c r="AD30" s="114">
        <v>6.8186000000000002E-3</v>
      </c>
      <c r="AE30" s="114">
        <v>8.1649614904000002E-3</v>
      </c>
      <c r="AF30" s="114">
        <v>1.0052356599999999E-2</v>
      </c>
      <c r="AG30" s="113">
        <v>-90.483714779066005</v>
      </c>
      <c r="AH30" s="107"/>
    </row>
    <row r="31" spans="1:34" ht="13.5" x14ac:dyDescent="0.2">
      <c r="A31" s="112" t="s">
        <v>313</v>
      </c>
      <c r="B31" s="113">
        <v>1.06E-2</v>
      </c>
      <c r="C31" s="113">
        <v>1.06E-2</v>
      </c>
      <c r="D31" s="113">
        <v>1.0500000000000001E-2</v>
      </c>
      <c r="E31" s="113">
        <v>6.3E-3</v>
      </c>
      <c r="F31" s="113">
        <v>2.8700000000000002E-3</v>
      </c>
      <c r="G31" s="113">
        <v>2.5400000000000002E-3</v>
      </c>
      <c r="H31" s="113">
        <v>1.99E-3</v>
      </c>
      <c r="I31" s="113">
        <v>3.2200000000000002E-3</v>
      </c>
      <c r="J31" s="113">
        <v>2.7100000000000002E-3</v>
      </c>
      <c r="K31" s="113">
        <v>1.1000000000000001E-3</v>
      </c>
      <c r="L31" s="113">
        <v>9.3999999999999997E-4</v>
      </c>
      <c r="M31" s="113">
        <v>9.2000000000000003E-4</v>
      </c>
      <c r="N31" s="113">
        <v>9.6000000000000002E-4</v>
      </c>
      <c r="O31" s="113">
        <v>1.0200000000000001E-3</v>
      </c>
      <c r="P31" s="113">
        <v>1.5200000000000001E-3</v>
      </c>
      <c r="Q31" s="113">
        <v>1.24E-3</v>
      </c>
      <c r="R31" s="113">
        <v>9.5E-4</v>
      </c>
      <c r="S31" s="113">
        <v>1.31E-3</v>
      </c>
      <c r="T31" s="113">
        <v>6.4000000000000005E-4</v>
      </c>
      <c r="U31" s="113">
        <v>5.8E-4</v>
      </c>
      <c r="V31" s="113">
        <v>7.1000000000000002E-4</v>
      </c>
      <c r="W31" s="113">
        <v>6.6929999999999995E-4</v>
      </c>
      <c r="X31" s="113">
        <v>4.7976740694999999E-4</v>
      </c>
      <c r="Y31" s="113">
        <v>6.4774009787999995E-4</v>
      </c>
      <c r="Z31" s="113">
        <v>6.5686601590000005E-4</v>
      </c>
      <c r="AA31" s="113">
        <v>1.00202741221E-3</v>
      </c>
      <c r="AB31" s="113">
        <v>7.9962626861000002E-4</v>
      </c>
      <c r="AC31" s="114">
        <v>6.6454554894000001E-4</v>
      </c>
      <c r="AD31" s="114">
        <v>8.2503999999999997E-4</v>
      </c>
      <c r="AE31" s="114">
        <v>9.8801904743999998E-4</v>
      </c>
      <c r="AF31" s="114">
        <v>1.2164492599999999E-3</v>
      </c>
      <c r="AG31" s="113">
        <v>-88.524063584906003</v>
      </c>
      <c r="AH31" s="107"/>
    </row>
    <row r="32" spans="1:34" ht="13.5" x14ac:dyDescent="0.2">
      <c r="A32" s="112" t="s">
        <v>314</v>
      </c>
      <c r="B32" s="113" t="s">
        <v>289</v>
      </c>
      <c r="C32" s="113" t="s">
        <v>289</v>
      </c>
      <c r="D32" s="113" t="s">
        <v>289</v>
      </c>
      <c r="E32" s="113" t="s">
        <v>289</v>
      </c>
      <c r="F32" s="113" t="s">
        <v>289</v>
      </c>
      <c r="G32" s="113" t="s">
        <v>289</v>
      </c>
      <c r="H32" s="113">
        <v>8.0000000000000004E-4</v>
      </c>
      <c r="I32" s="113">
        <v>4.7999999999999996E-3</v>
      </c>
      <c r="J32" s="113">
        <v>2.8400000000000002E-4</v>
      </c>
      <c r="K32" s="113">
        <v>8.0000000000000002E-3</v>
      </c>
      <c r="L32" s="113" t="s">
        <v>289</v>
      </c>
      <c r="M32" s="113" t="s">
        <v>289</v>
      </c>
      <c r="N32" s="113" t="s">
        <v>289</v>
      </c>
      <c r="O32" s="113">
        <v>1.0950000000000001E-3</v>
      </c>
      <c r="P32" s="113">
        <v>1.8E-3</v>
      </c>
      <c r="Q32" s="113">
        <v>9.7499999999999996E-4</v>
      </c>
      <c r="R32" s="113" t="s">
        <v>289</v>
      </c>
      <c r="S32" s="113">
        <v>1.155E-3</v>
      </c>
      <c r="T32" s="113">
        <v>1.6200000000000001E-4</v>
      </c>
      <c r="U32" s="113">
        <v>3.39E-4</v>
      </c>
      <c r="V32" s="113">
        <v>1.8900000000000001E-4</v>
      </c>
      <c r="W32" s="113" t="s">
        <v>289</v>
      </c>
      <c r="X32" s="113">
        <v>1.9999999999999999E-7</v>
      </c>
      <c r="Y32" s="113">
        <v>1.9999999999999999E-7</v>
      </c>
      <c r="Z32" s="113">
        <v>2.3999999999999998E-7</v>
      </c>
      <c r="AA32" s="113">
        <v>2.3999999999999998E-7</v>
      </c>
      <c r="AB32" s="113">
        <v>2.65E-7</v>
      </c>
      <c r="AC32" s="114">
        <v>3.1E-7</v>
      </c>
      <c r="AD32" s="114">
        <v>3.15E-7</v>
      </c>
      <c r="AE32" s="114">
        <v>3.7E-7</v>
      </c>
      <c r="AF32" s="114">
        <v>4.5499999999999998E-7</v>
      </c>
      <c r="AG32" s="113">
        <v>100</v>
      </c>
      <c r="AH32" s="107"/>
    </row>
    <row r="33" spans="1:34" ht="13.5" x14ac:dyDescent="0.2">
      <c r="A33" s="112" t="s">
        <v>315</v>
      </c>
      <c r="B33" s="113" t="s">
        <v>293</v>
      </c>
      <c r="C33" s="113" t="s">
        <v>293</v>
      </c>
      <c r="D33" s="113" t="s">
        <v>293</v>
      </c>
      <c r="E33" s="113" t="s">
        <v>293</v>
      </c>
      <c r="F33" s="113" t="s">
        <v>293</v>
      </c>
      <c r="G33" s="113" t="s">
        <v>293</v>
      </c>
      <c r="H33" s="113" t="s">
        <v>293</v>
      </c>
      <c r="I33" s="113" t="s">
        <v>293</v>
      </c>
      <c r="J33" s="113" t="s">
        <v>293</v>
      </c>
      <c r="K33" s="113" t="s">
        <v>293</v>
      </c>
      <c r="L33" s="113" t="s">
        <v>293</v>
      </c>
      <c r="M33" s="113" t="s">
        <v>293</v>
      </c>
      <c r="N33" s="113" t="s">
        <v>293</v>
      </c>
      <c r="O33" s="113" t="s">
        <v>293</v>
      </c>
      <c r="P33" s="113" t="s">
        <v>293</v>
      </c>
      <c r="Q33" s="113" t="s">
        <v>293</v>
      </c>
      <c r="R33" s="113" t="s">
        <v>293</v>
      </c>
      <c r="S33" s="113" t="s">
        <v>293</v>
      </c>
      <c r="T33" s="113" t="s">
        <v>293</v>
      </c>
      <c r="U33" s="113" t="s">
        <v>293</v>
      </c>
      <c r="V33" s="113" t="s">
        <v>293</v>
      </c>
      <c r="W33" s="113" t="s">
        <v>293</v>
      </c>
      <c r="X33" s="113" t="s">
        <v>293</v>
      </c>
      <c r="Y33" s="113" t="s">
        <v>293</v>
      </c>
      <c r="Z33" s="113" t="s">
        <v>293</v>
      </c>
      <c r="AA33" s="113" t="s">
        <v>293</v>
      </c>
      <c r="AB33" s="113" t="s">
        <v>293</v>
      </c>
      <c r="AC33" s="114" t="s">
        <v>293</v>
      </c>
      <c r="AD33" s="114" t="s">
        <v>293</v>
      </c>
      <c r="AE33" s="114" t="s">
        <v>293</v>
      </c>
      <c r="AF33" s="114" t="s">
        <v>293</v>
      </c>
      <c r="AG33" s="113">
        <v>0</v>
      </c>
      <c r="AH33" s="107"/>
    </row>
    <row r="34" spans="1:34" ht="13.5" x14ac:dyDescent="0.2">
      <c r="A34" s="112" t="s">
        <v>316</v>
      </c>
      <c r="B34" s="113" t="s">
        <v>293</v>
      </c>
      <c r="C34" s="113" t="s">
        <v>293</v>
      </c>
      <c r="D34" s="113" t="s">
        <v>293</v>
      </c>
      <c r="E34" s="113" t="s">
        <v>293</v>
      </c>
      <c r="F34" s="113" t="s">
        <v>293</v>
      </c>
      <c r="G34" s="113" t="s">
        <v>293</v>
      </c>
      <c r="H34" s="113" t="s">
        <v>293</v>
      </c>
      <c r="I34" s="113" t="s">
        <v>293</v>
      </c>
      <c r="J34" s="113" t="s">
        <v>293</v>
      </c>
      <c r="K34" s="113" t="s">
        <v>293</v>
      </c>
      <c r="L34" s="113" t="s">
        <v>293</v>
      </c>
      <c r="M34" s="113" t="s">
        <v>293</v>
      </c>
      <c r="N34" s="113" t="s">
        <v>293</v>
      </c>
      <c r="O34" s="113" t="s">
        <v>293</v>
      </c>
      <c r="P34" s="113" t="s">
        <v>293</v>
      </c>
      <c r="Q34" s="113" t="s">
        <v>293</v>
      </c>
      <c r="R34" s="113" t="s">
        <v>293</v>
      </c>
      <c r="S34" s="113" t="s">
        <v>293</v>
      </c>
      <c r="T34" s="113" t="s">
        <v>293</v>
      </c>
      <c r="U34" s="113" t="s">
        <v>293</v>
      </c>
      <c r="V34" s="113" t="s">
        <v>293</v>
      </c>
      <c r="W34" s="113" t="s">
        <v>293</v>
      </c>
      <c r="X34" s="113" t="s">
        <v>293</v>
      </c>
      <c r="Y34" s="113" t="s">
        <v>293</v>
      </c>
      <c r="Z34" s="113" t="s">
        <v>293</v>
      </c>
      <c r="AA34" s="113" t="s">
        <v>293</v>
      </c>
      <c r="AB34" s="113" t="s">
        <v>293</v>
      </c>
      <c r="AC34" s="114" t="s">
        <v>293</v>
      </c>
      <c r="AD34" s="114" t="s">
        <v>293</v>
      </c>
      <c r="AE34" s="114" t="s">
        <v>293</v>
      </c>
      <c r="AF34" s="114" t="s">
        <v>293</v>
      </c>
      <c r="AG34" s="113">
        <v>0</v>
      </c>
      <c r="AH34" s="107"/>
    </row>
    <row r="35" spans="1:34" ht="13.5" x14ac:dyDescent="0.2">
      <c r="A35" s="112" t="s">
        <v>317</v>
      </c>
      <c r="B35" s="113" t="s">
        <v>293</v>
      </c>
      <c r="C35" s="113" t="s">
        <v>293</v>
      </c>
      <c r="D35" s="113" t="s">
        <v>293</v>
      </c>
      <c r="E35" s="113" t="s">
        <v>293</v>
      </c>
      <c r="F35" s="113" t="s">
        <v>293</v>
      </c>
      <c r="G35" s="113" t="s">
        <v>293</v>
      </c>
      <c r="H35" s="113" t="s">
        <v>293</v>
      </c>
      <c r="I35" s="113" t="s">
        <v>293</v>
      </c>
      <c r="J35" s="113" t="s">
        <v>293</v>
      </c>
      <c r="K35" s="113" t="s">
        <v>293</v>
      </c>
      <c r="L35" s="113" t="s">
        <v>293</v>
      </c>
      <c r="M35" s="113" t="s">
        <v>293</v>
      </c>
      <c r="N35" s="113" t="s">
        <v>293</v>
      </c>
      <c r="O35" s="113" t="s">
        <v>293</v>
      </c>
      <c r="P35" s="113" t="s">
        <v>293</v>
      </c>
      <c r="Q35" s="113" t="s">
        <v>293</v>
      </c>
      <c r="R35" s="113" t="s">
        <v>293</v>
      </c>
      <c r="S35" s="113" t="s">
        <v>293</v>
      </c>
      <c r="T35" s="113" t="s">
        <v>293</v>
      </c>
      <c r="U35" s="113" t="s">
        <v>293</v>
      </c>
      <c r="V35" s="113" t="s">
        <v>293</v>
      </c>
      <c r="W35" s="113" t="s">
        <v>293</v>
      </c>
      <c r="X35" s="113" t="s">
        <v>293</v>
      </c>
      <c r="Y35" s="113" t="s">
        <v>293</v>
      </c>
      <c r="Z35" s="113" t="s">
        <v>293</v>
      </c>
      <c r="AA35" s="113" t="s">
        <v>293</v>
      </c>
      <c r="AB35" s="113" t="s">
        <v>293</v>
      </c>
      <c r="AC35" s="114" t="s">
        <v>293</v>
      </c>
      <c r="AD35" s="114" t="s">
        <v>293</v>
      </c>
      <c r="AE35" s="114" t="s">
        <v>293</v>
      </c>
      <c r="AF35" s="114" t="s">
        <v>293</v>
      </c>
      <c r="AG35" s="113">
        <v>0</v>
      </c>
      <c r="AH35" s="107"/>
    </row>
    <row r="36" spans="1:34" ht="13.5" x14ac:dyDescent="0.2">
      <c r="A36" s="112" t="s">
        <v>318</v>
      </c>
      <c r="B36" s="113" t="s">
        <v>293</v>
      </c>
      <c r="C36" s="113" t="s">
        <v>293</v>
      </c>
      <c r="D36" s="113" t="s">
        <v>293</v>
      </c>
      <c r="E36" s="113" t="s">
        <v>293</v>
      </c>
      <c r="F36" s="113" t="s">
        <v>293</v>
      </c>
      <c r="G36" s="113" t="s">
        <v>293</v>
      </c>
      <c r="H36" s="113" t="s">
        <v>293</v>
      </c>
      <c r="I36" s="113" t="s">
        <v>293</v>
      </c>
      <c r="J36" s="113" t="s">
        <v>293</v>
      </c>
      <c r="K36" s="113" t="s">
        <v>293</v>
      </c>
      <c r="L36" s="113" t="s">
        <v>293</v>
      </c>
      <c r="M36" s="113" t="s">
        <v>293</v>
      </c>
      <c r="N36" s="113" t="s">
        <v>293</v>
      </c>
      <c r="O36" s="113" t="s">
        <v>293</v>
      </c>
      <c r="P36" s="113" t="s">
        <v>293</v>
      </c>
      <c r="Q36" s="113" t="s">
        <v>293</v>
      </c>
      <c r="R36" s="113" t="s">
        <v>293</v>
      </c>
      <c r="S36" s="113" t="s">
        <v>293</v>
      </c>
      <c r="T36" s="113" t="s">
        <v>293</v>
      </c>
      <c r="U36" s="113" t="s">
        <v>293</v>
      </c>
      <c r="V36" s="113" t="s">
        <v>293</v>
      </c>
      <c r="W36" s="113" t="s">
        <v>293</v>
      </c>
      <c r="X36" s="113" t="s">
        <v>293</v>
      </c>
      <c r="Y36" s="113" t="s">
        <v>293</v>
      </c>
      <c r="Z36" s="113" t="s">
        <v>293</v>
      </c>
      <c r="AA36" s="113" t="s">
        <v>293</v>
      </c>
      <c r="AB36" s="113" t="s">
        <v>293</v>
      </c>
      <c r="AC36" s="114" t="s">
        <v>293</v>
      </c>
      <c r="AD36" s="114" t="s">
        <v>293</v>
      </c>
      <c r="AE36" s="114" t="s">
        <v>293</v>
      </c>
      <c r="AF36" s="114" t="s">
        <v>293</v>
      </c>
      <c r="AG36" s="113">
        <v>0</v>
      </c>
      <c r="AH36" s="107"/>
    </row>
    <row r="37" spans="1:34" ht="13.5" x14ac:dyDescent="0.2">
      <c r="A37" s="112" t="s">
        <v>319</v>
      </c>
      <c r="B37" s="113" t="s">
        <v>293</v>
      </c>
      <c r="C37" s="113" t="s">
        <v>293</v>
      </c>
      <c r="D37" s="113" t="s">
        <v>293</v>
      </c>
      <c r="E37" s="113" t="s">
        <v>293</v>
      </c>
      <c r="F37" s="113" t="s">
        <v>293</v>
      </c>
      <c r="G37" s="113" t="s">
        <v>293</v>
      </c>
      <c r="H37" s="113" t="s">
        <v>293</v>
      </c>
      <c r="I37" s="113" t="s">
        <v>293</v>
      </c>
      <c r="J37" s="113" t="s">
        <v>293</v>
      </c>
      <c r="K37" s="113" t="s">
        <v>293</v>
      </c>
      <c r="L37" s="113" t="s">
        <v>293</v>
      </c>
      <c r="M37" s="113" t="s">
        <v>293</v>
      </c>
      <c r="N37" s="113" t="s">
        <v>293</v>
      </c>
      <c r="O37" s="113" t="s">
        <v>293</v>
      </c>
      <c r="P37" s="113" t="s">
        <v>293</v>
      </c>
      <c r="Q37" s="113" t="s">
        <v>293</v>
      </c>
      <c r="R37" s="113" t="s">
        <v>293</v>
      </c>
      <c r="S37" s="113" t="s">
        <v>293</v>
      </c>
      <c r="T37" s="113" t="s">
        <v>293</v>
      </c>
      <c r="U37" s="113" t="s">
        <v>293</v>
      </c>
      <c r="V37" s="113" t="s">
        <v>293</v>
      </c>
      <c r="W37" s="113" t="s">
        <v>293</v>
      </c>
      <c r="X37" s="113" t="s">
        <v>293</v>
      </c>
      <c r="Y37" s="113" t="s">
        <v>293</v>
      </c>
      <c r="Z37" s="113" t="s">
        <v>293</v>
      </c>
      <c r="AA37" s="113" t="s">
        <v>293</v>
      </c>
      <c r="AB37" s="113" t="s">
        <v>293</v>
      </c>
      <c r="AC37" s="114" t="s">
        <v>293</v>
      </c>
      <c r="AD37" s="114" t="s">
        <v>293</v>
      </c>
      <c r="AE37" s="114" t="s">
        <v>293</v>
      </c>
      <c r="AF37" s="114" t="s">
        <v>293</v>
      </c>
      <c r="AG37" s="113">
        <v>0</v>
      </c>
      <c r="AH37" s="107"/>
    </row>
    <row r="38" spans="1:34" ht="13.5" x14ac:dyDescent="0.2">
      <c r="A38" s="112" t="s">
        <v>320</v>
      </c>
      <c r="B38" s="113" t="s">
        <v>293</v>
      </c>
      <c r="C38" s="113" t="s">
        <v>293</v>
      </c>
      <c r="D38" s="113" t="s">
        <v>293</v>
      </c>
      <c r="E38" s="113" t="s">
        <v>293</v>
      </c>
      <c r="F38" s="113" t="s">
        <v>293</v>
      </c>
      <c r="G38" s="113" t="s">
        <v>293</v>
      </c>
      <c r="H38" s="113" t="s">
        <v>293</v>
      </c>
      <c r="I38" s="113" t="s">
        <v>293</v>
      </c>
      <c r="J38" s="113" t="s">
        <v>293</v>
      </c>
      <c r="K38" s="113" t="s">
        <v>293</v>
      </c>
      <c r="L38" s="113" t="s">
        <v>293</v>
      </c>
      <c r="M38" s="113" t="s">
        <v>293</v>
      </c>
      <c r="N38" s="113" t="s">
        <v>293</v>
      </c>
      <c r="O38" s="113" t="s">
        <v>293</v>
      </c>
      <c r="P38" s="113" t="s">
        <v>293</v>
      </c>
      <c r="Q38" s="113" t="s">
        <v>293</v>
      </c>
      <c r="R38" s="113" t="s">
        <v>293</v>
      </c>
      <c r="S38" s="113" t="s">
        <v>293</v>
      </c>
      <c r="T38" s="113" t="s">
        <v>293</v>
      </c>
      <c r="U38" s="113" t="s">
        <v>293</v>
      </c>
      <c r="V38" s="113" t="s">
        <v>293</v>
      </c>
      <c r="W38" s="113" t="s">
        <v>293</v>
      </c>
      <c r="X38" s="113" t="s">
        <v>293</v>
      </c>
      <c r="Y38" s="113" t="s">
        <v>293</v>
      </c>
      <c r="Z38" s="113" t="s">
        <v>293</v>
      </c>
      <c r="AA38" s="113" t="s">
        <v>293</v>
      </c>
      <c r="AB38" s="113" t="s">
        <v>293</v>
      </c>
      <c r="AC38" s="114" t="s">
        <v>293</v>
      </c>
      <c r="AD38" s="114" t="s">
        <v>293</v>
      </c>
      <c r="AE38" s="114" t="s">
        <v>293</v>
      </c>
      <c r="AF38" s="114" t="s">
        <v>293</v>
      </c>
      <c r="AG38" s="113">
        <v>0</v>
      </c>
      <c r="AH38" s="107"/>
    </row>
    <row r="39" spans="1:34" ht="14.25" x14ac:dyDescent="0.2">
      <c r="A39" s="112" t="s">
        <v>321</v>
      </c>
      <c r="B39" s="113" t="s">
        <v>293</v>
      </c>
      <c r="C39" s="113" t="s">
        <v>293</v>
      </c>
      <c r="D39" s="113" t="s">
        <v>293</v>
      </c>
      <c r="E39" s="113" t="s">
        <v>293</v>
      </c>
      <c r="F39" s="113" t="s">
        <v>293</v>
      </c>
      <c r="G39" s="113" t="s">
        <v>293</v>
      </c>
      <c r="H39" s="113" t="s">
        <v>293</v>
      </c>
      <c r="I39" s="113" t="s">
        <v>293</v>
      </c>
      <c r="J39" s="113" t="s">
        <v>293</v>
      </c>
      <c r="K39" s="113" t="s">
        <v>293</v>
      </c>
      <c r="L39" s="113" t="s">
        <v>293</v>
      </c>
      <c r="M39" s="113" t="s">
        <v>293</v>
      </c>
      <c r="N39" s="113" t="s">
        <v>293</v>
      </c>
      <c r="O39" s="113" t="s">
        <v>293</v>
      </c>
      <c r="P39" s="113" t="s">
        <v>293</v>
      </c>
      <c r="Q39" s="113" t="s">
        <v>293</v>
      </c>
      <c r="R39" s="113" t="s">
        <v>293</v>
      </c>
      <c r="S39" s="113" t="s">
        <v>293</v>
      </c>
      <c r="T39" s="113" t="s">
        <v>293</v>
      </c>
      <c r="U39" s="113" t="s">
        <v>293</v>
      </c>
      <c r="V39" s="113" t="s">
        <v>293</v>
      </c>
      <c r="W39" s="113" t="s">
        <v>293</v>
      </c>
      <c r="X39" s="113" t="s">
        <v>293</v>
      </c>
      <c r="Y39" s="113" t="s">
        <v>293</v>
      </c>
      <c r="Z39" s="113" t="s">
        <v>293</v>
      </c>
      <c r="AA39" s="113" t="s">
        <v>293</v>
      </c>
      <c r="AB39" s="113" t="s">
        <v>293</v>
      </c>
      <c r="AC39" s="114" t="s">
        <v>293</v>
      </c>
      <c r="AD39" s="114" t="s">
        <v>293</v>
      </c>
      <c r="AE39" s="114" t="s">
        <v>293</v>
      </c>
      <c r="AF39" s="114" t="s">
        <v>293</v>
      </c>
      <c r="AG39" s="113">
        <v>0</v>
      </c>
      <c r="AH39" s="107"/>
    </row>
    <row r="40" spans="1:34" ht="13.5" x14ac:dyDescent="0.2">
      <c r="A40" s="116" t="s">
        <v>322</v>
      </c>
      <c r="B40" s="110" t="s">
        <v>289</v>
      </c>
      <c r="C40" s="110" t="s">
        <v>289</v>
      </c>
      <c r="D40" s="110" t="s">
        <v>289</v>
      </c>
      <c r="E40" s="110" t="s">
        <v>289</v>
      </c>
      <c r="F40" s="110" t="s">
        <v>289</v>
      </c>
      <c r="G40" s="110" t="s">
        <v>289</v>
      </c>
      <c r="H40" s="110" t="s">
        <v>289</v>
      </c>
      <c r="I40" s="110" t="s">
        <v>289</v>
      </c>
      <c r="J40" s="110" t="s">
        <v>289</v>
      </c>
      <c r="K40" s="110" t="s">
        <v>289</v>
      </c>
      <c r="L40" s="110" t="s">
        <v>289</v>
      </c>
      <c r="M40" s="110" t="s">
        <v>289</v>
      </c>
      <c r="N40" s="110" t="s">
        <v>289</v>
      </c>
      <c r="O40" s="110" t="s">
        <v>289</v>
      </c>
      <c r="P40" s="110" t="s">
        <v>289</v>
      </c>
      <c r="Q40" s="110" t="s">
        <v>289</v>
      </c>
      <c r="R40" s="110" t="s">
        <v>289</v>
      </c>
      <c r="S40" s="110" t="s">
        <v>289</v>
      </c>
      <c r="T40" s="110" t="s">
        <v>289</v>
      </c>
      <c r="U40" s="110" t="s">
        <v>289</v>
      </c>
      <c r="V40" s="110" t="s">
        <v>289</v>
      </c>
      <c r="W40" s="110" t="s">
        <v>289</v>
      </c>
      <c r="X40" s="110" t="s">
        <v>289</v>
      </c>
      <c r="Y40" s="110" t="s">
        <v>289</v>
      </c>
      <c r="Z40" s="110" t="s">
        <v>289</v>
      </c>
      <c r="AA40" s="110" t="s">
        <v>289</v>
      </c>
      <c r="AB40" s="110" t="s">
        <v>289</v>
      </c>
      <c r="AC40" s="110" t="s">
        <v>289</v>
      </c>
      <c r="AD40" s="110" t="s">
        <v>289</v>
      </c>
      <c r="AE40" s="110" t="s">
        <v>289</v>
      </c>
      <c r="AF40" s="110" t="s">
        <v>289</v>
      </c>
      <c r="AG40" s="110">
        <v>0</v>
      </c>
      <c r="AH40" s="107"/>
    </row>
    <row r="41" spans="1:34" ht="13.5" x14ac:dyDescent="0.2">
      <c r="A41" s="115" t="s">
        <v>323</v>
      </c>
      <c r="B41" s="110">
        <v>19.972799999999999</v>
      </c>
      <c r="C41" s="110">
        <v>19.972799999999999</v>
      </c>
      <c r="D41" s="110">
        <v>20.861999999999998</v>
      </c>
      <c r="E41" s="110">
        <v>21.905100000000001</v>
      </c>
      <c r="F41" s="110">
        <v>22.692554999999999</v>
      </c>
      <c r="G41" s="110">
        <v>23.43046275</v>
      </c>
      <c r="H41" s="110">
        <v>24.4161658875</v>
      </c>
      <c r="I41" s="110">
        <v>24.647454181932002</v>
      </c>
      <c r="J41" s="110">
        <v>25.584566891040001</v>
      </c>
      <c r="K41" s="110">
        <v>24.857395235592001</v>
      </c>
      <c r="L41" s="110">
        <v>24.564684997212002</v>
      </c>
      <c r="M41" s="110">
        <v>19.564154978927998</v>
      </c>
      <c r="N41" s="110">
        <v>20.036733223043999</v>
      </c>
      <c r="O41" s="110">
        <v>23.317375610244</v>
      </c>
      <c r="P41" s="110">
        <v>25.187358493152001</v>
      </c>
      <c r="Q41" s="110">
        <v>28.915838524356001</v>
      </c>
      <c r="R41" s="110">
        <v>25.413534264468002</v>
      </c>
      <c r="S41" s="110">
        <v>21.045871043916001</v>
      </c>
      <c r="T41" s="110">
        <v>19.874624517840001</v>
      </c>
      <c r="U41" s="110">
        <v>19.341221609291999</v>
      </c>
      <c r="V41" s="110">
        <v>22.536088782707999</v>
      </c>
      <c r="W41" s="110">
        <v>22.837506235067998</v>
      </c>
      <c r="X41" s="110">
        <v>18.939779918304001</v>
      </c>
      <c r="Y41" s="110">
        <v>20.905156815840002</v>
      </c>
      <c r="Z41" s="110">
        <v>18.190856183459999</v>
      </c>
      <c r="AA41" s="110">
        <v>16.806683468351999</v>
      </c>
      <c r="AB41" s="110">
        <v>16.470457267619999</v>
      </c>
      <c r="AC41" s="110">
        <v>17.368851441263999</v>
      </c>
      <c r="AD41" s="110">
        <v>14.795615867172</v>
      </c>
      <c r="AE41" s="110">
        <v>14.714656137876</v>
      </c>
      <c r="AF41" s="110">
        <v>15.708216288984</v>
      </c>
      <c r="AG41" s="110">
        <v>-21.351957216894998</v>
      </c>
      <c r="AH41" s="107"/>
    </row>
    <row r="42" spans="1:34" ht="13.5" x14ac:dyDescent="0.2">
      <c r="A42" s="117" t="s">
        <v>324</v>
      </c>
      <c r="B42" s="113">
        <v>8.7600000000000004E-4</v>
      </c>
      <c r="C42" s="113">
        <v>8.7600000000000004E-4</v>
      </c>
      <c r="D42" s="113">
        <v>9.1500000000000001E-4</v>
      </c>
      <c r="E42" s="113">
        <v>9.6075000000000002E-4</v>
      </c>
      <c r="F42" s="113">
        <v>9.9528750000000004E-4</v>
      </c>
      <c r="G42" s="113">
        <v>1.0276518750000001E-3</v>
      </c>
      <c r="H42" s="113">
        <v>1.07088446875E-3</v>
      </c>
      <c r="I42" s="113">
        <v>1.0810286921899999E-3</v>
      </c>
      <c r="J42" s="113">
        <v>1.1221301268E-3</v>
      </c>
      <c r="K42" s="113">
        <v>1.0902366331399999E-3</v>
      </c>
      <c r="L42" s="113">
        <v>1.0773984647899999E-3</v>
      </c>
      <c r="M42" s="113">
        <v>8.5807697275999998E-4</v>
      </c>
      <c r="N42" s="113">
        <v>8.7880408872999998E-4</v>
      </c>
      <c r="O42" s="113">
        <v>1.0226919127299999E-3</v>
      </c>
      <c r="P42" s="113">
        <v>1.10470870584E-3</v>
      </c>
      <c r="Q42" s="113">
        <v>1.2682385317700001E-3</v>
      </c>
      <c r="R42" s="113">
        <v>1.11462869581E-3</v>
      </c>
      <c r="S42" s="113">
        <v>9.2306451947000003E-4</v>
      </c>
      <c r="T42" s="113">
        <v>8.7169405780000004E-4</v>
      </c>
      <c r="U42" s="113">
        <v>8.4829919339000004E-4</v>
      </c>
      <c r="V42" s="113">
        <v>9.8842494660999992E-4</v>
      </c>
      <c r="W42" s="113">
        <v>1.00164501031E-3</v>
      </c>
      <c r="X42" s="113">
        <v>8.3069210167999999E-4</v>
      </c>
      <c r="Y42" s="113">
        <v>9.1689284280000003E-4</v>
      </c>
      <c r="Z42" s="113">
        <v>7.9784456944999999E-4</v>
      </c>
      <c r="AA42" s="113">
        <v>7.3713523983999995E-4</v>
      </c>
      <c r="AB42" s="113">
        <v>7.2238847664999998E-4</v>
      </c>
      <c r="AC42" s="114">
        <v>7.6179172988000002E-4</v>
      </c>
      <c r="AD42" s="114">
        <v>6.4893052048999999E-4</v>
      </c>
      <c r="AE42" s="114">
        <v>6.4537965517000003E-4</v>
      </c>
      <c r="AF42" s="114">
        <v>6.8895685478000005E-4</v>
      </c>
      <c r="AG42" s="113">
        <v>-21.351957216894998</v>
      </c>
      <c r="AH42" s="107"/>
    </row>
    <row r="43" spans="1:34" ht="13.5" x14ac:dyDescent="0.2">
      <c r="A43" s="118" t="s">
        <v>325</v>
      </c>
      <c r="B43" s="110" t="s">
        <v>289</v>
      </c>
      <c r="C43" s="110" t="s">
        <v>289</v>
      </c>
      <c r="D43" s="110" t="s">
        <v>289</v>
      </c>
      <c r="E43" s="110" t="s">
        <v>289</v>
      </c>
      <c r="F43" s="110" t="s">
        <v>289</v>
      </c>
      <c r="G43" s="110" t="s">
        <v>289</v>
      </c>
      <c r="H43" s="110" t="s">
        <v>289</v>
      </c>
      <c r="I43" s="110" t="s">
        <v>289</v>
      </c>
      <c r="J43" s="110" t="s">
        <v>289</v>
      </c>
      <c r="K43" s="110" t="s">
        <v>289</v>
      </c>
      <c r="L43" s="110" t="s">
        <v>289</v>
      </c>
      <c r="M43" s="110" t="s">
        <v>289</v>
      </c>
      <c r="N43" s="110" t="s">
        <v>289</v>
      </c>
      <c r="O43" s="110" t="s">
        <v>289</v>
      </c>
      <c r="P43" s="110" t="s">
        <v>289</v>
      </c>
      <c r="Q43" s="110" t="s">
        <v>289</v>
      </c>
      <c r="R43" s="110" t="s">
        <v>289</v>
      </c>
      <c r="S43" s="110" t="s">
        <v>289</v>
      </c>
      <c r="T43" s="110" t="s">
        <v>289</v>
      </c>
      <c r="U43" s="110" t="s">
        <v>289</v>
      </c>
      <c r="V43" s="110" t="s">
        <v>289</v>
      </c>
      <c r="W43" s="110" t="s">
        <v>289</v>
      </c>
      <c r="X43" s="110" t="s">
        <v>289</v>
      </c>
      <c r="Y43" s="110" t="s">
        <v>289</v>
      </c>
      <c r="Z43" s="110" t="s">
        <v>289</v>
      </c>
      <c r="AA43" s="110" t="s">
        <v>289</v>
      </c>
      <c r="AB43" s="110" t="s">
        <v>289</v>
      </c>
      <c r="AC43" s="110" t="s">
        <v>289</v>
      </c>
      <c r="AD43" s="110" t="s">
        <v>289</v>
      </c>
      <c r="AE43" s="110" t="s">
        <v>289</v>
      </c>
      <c r="AF43" s="110" t="s">
        <v>289</v>
      </c>
      <c r="AG43" s="110">
        <v>0</v>
      </c>
      <c r="AH43" s="107"/>
    </row>
    <row r="44" spans="1:34" ht="13.5" x14ac:dyDescent="0.2">
      <c r="A44" s="119" t="s">
        <v>326</v>
      </c>
      <c r="B44" s="113" t="s">
        <v>289</v>
      </c>
      <c r="C44" s="113" t="s">
        <v>289</v>
      </c>
      <c r="D44" s="113" t="s">
        <v>289</v>
      </c>
      <c r="E44" s="113" t="s">
        <v>289</v>
      </c>
      <c r="F44" s="113" t="s">
        <v>289</v>
      </c>
      <c r="G44" s="113" t="s">
        <v>289</v>
      </c>
      <c r="H44" s="113" t="s">
        <v>289</v>
      </c>
      <c r="I44" s="113" t="s">
        <v>289</v>
      </c>
      <c r="J44" s="113" t="s">
        <v>289</v>
      </c>
      <c r="K44" s="113" t="s">
        <v>289</v>
      </c>
      <c r="L44" s="113" t="s">
        <v>289</v>
      </c>
      <c r="M44" s="113" t="s">
        <v>289</v>
      </c>
      <c r="N44" s="113" t="s">
        <v>289</v>
      </c>
      <c r="O44" s="113" t="s">
        <v>289</v>
      </c>
      <c r="P44" s="113" t="s">
        <v>289</v>
      </c>
      <c r="Q44" s="113" t="s">
        <v>289</v>
      </c>
      <c r="R44" s="113" t="s">
        <v>289</v>
      </c>
      <c r="S44" s="113" t="s">
        <v>289</v>
      </c>
      <c r="T44" s="113" t="s">
        <v>289</v>
      </c>
      <c r="U44" s="113" t="s">
        <v>289</v>
      </c>
      <c r="V44" s="113" t="s">
        <v>289</v>
      </c>
      <c r="W44" s="113" t="s">
        <v>289</v>
      </c>
      <c r="X44" s="113" t="s">
        <v>289</v>
      </c>
      <c r="Y44" s="113" t="s">
        <v>289</v>
      </c>
      <c r="Z44" s="113" t="s">
        <v>289</v>
      </c>
      <c r="AA44" s="113" t="s">
        <v>289</v>
      </c>
      <c r="AB44" s="113" t="s">
        <v>289</v>
      </c>
      <c r="AC44" s="114" t="s">
        <v>289</v>
      </c>
      <c r="AD44" s="114" t="s">
        <v>289</v>
      </c>
      <c r="AE44" s="114" t="s">
        <v>289</v>
      </c>
      <c r="AF44" s="114" t="s">
        <v>289</v>
      </c>
      <c r="AG44" s="113">
        <v>0</v>
      </c>
      <c r="AH44" s="107"/>
    </row>
    <row r="45" spans="1:34" x14ac:dyDescent="0.2">
      <c r="A45" s="120"/>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07"/>
    </row>
    <row r="46" spans="1:34" ht="15" customHeight="1" x14ac:dyDescent="0.2">
      <c r="A46" s="122" t="s">
        <v>327</v>
      </c>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row>
    <row r="47" spans="1:34" ht="15" customHeight="1" x14ac:dyDescent="0.2">
      <c r="A47" s="122"/>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row>
    <row r="49" spans="1:32" ht="12" customHeight="1" x14ac:dyDescent="0.2">
      <c r="A49" s="105" t="s">
        <v>328</v>
      </c>
      <c r="B49" s="105">
        <v>0</v>
      </c>
      <c r="C49" s="123">
        <v>0</v>
      </c>
      <c r="D49" s="123">
        <v>0</v>
      </c>
      <c r="E49" s="123">
        <v>0</v>
      </c>
      <c r="F49" s="123">
        <v>0</v>
      </c>
      <c r="G49" s="123">
        <v>3.5113650000000002E-3</v>
      </c>
      <c r="H49" s="123">
        <v>8.4313723576200008E-3</v>
      </c>
      <c r="I49" s="123">
        <v>1.510305229846E-2</v>
      </c>
      <c r="J49" s="123">
        <v>1.9943148151579999E-2</v>
      </c>
      <c r="K49" s="123">
        <v>2.4682274463330003E-2</v>
      </c>
      <c r="L49" s="123">
        <v>2.9419744292880003E-2</v>
      </c>
      <c r="M49" s="123">
        <v>3.3619273915049999E-2</v>
      </c>
      <c r="N49" s="123">
        <v>4.0440489614830002E-2</v>
      </c>
      <c r="O49" s="123">
        <v>5.4750075676180003E-2</v>
      </c>
      <c r="P49" s="123">
        <v>6.6988149626489996E-2</v>
      </c>
      <c r="Q49" s="123">
        <v>7.1820554561319999E-2</v>
      </c>
      <c r="R49" s="123">
        <v>7.6901280331329994E-2</v>
      </c>
      <c r="S49" s="123">
        <v>8.1668568280840001E-2</v>
      </c>
      <c r="T49" s="123">
        <v>9.8458090360120001E-2</v>
      </c>
      <c r="U49" s="123">
        <v>0.11553742635695001</v>
      </c>
      <c r="V49" s="123">
        <v>0.13264538351084001</v>
      </c>
      <c r="W49" s="123">
        <v>0.14986283060993999</v>
      </c>
      <c r="X49" s="123">
        <v>0.16814176500725</v>
      </c>
      <c r="Y49" s="123">
        <v>0.18270928813243001</v>
      </c>
      <c r="Z49" s="123">
        <v>0.19573524749999999</v>
      </c>
      <c r="AA49" s="123">
        <v>0.20862919622007001</v>
      </c>
      <c r="AB49" s="123">
        <v>0.2218086203753</v>
      </c>
      <c r="AC49" s="123">
        <v>0.23469640428152</v>
      </c>
      <c r="AD49" s="123">
        <v>0.23434294411524001</v>
      </c>
      <c r="AE49" s="123">
        <v>0.23420333895670004</v>
      </c>
      <c r="AF49" s="123">
        <v>0.23420333895670004</v>
      </c>
    </row>
    <row r="50" spans="1:32" ht="12" customHeight="1" x14ac:dyDescent="0.2">
      <c r="A50" s="105" t="s">
        <v>329</v>
      </c>
    </row>
  </sheetData>
  <mergeCells count="2">
    <mergeCell ref="A5:A6"/>
    <mergeCell ref="B6:AF6"/>
  </mergeCells>
  <dataValidations count="1">
    <dataValidation allowBlank="1" showInputMessage="1" showErrorMessage="1" sqref="A52:AF65532 AG52:AH1048576 AJ5:JY48 AI1:JX4 AI49:JX1048576" xr:uid="{03049898-A800-41BB-AB25-C8C56B0A4888}"/>
  </dataValidations>
  <pageMargins left="0.39370078740157499" right="0.39370078740157499" top="0.39370078740157499" bottom="0.39370078740157499" header="0.196850393700787" footer="0.196850393700787"/>
  <pageSetup paperSize="9" scale="35" orientation="portrait" r:id="rId1"/>
  <headerFooter alignWithMargins="0">
    <oddFooter>&amp;L&amp;"Times New Roman,Italic"Common Reporting Format for the provision of inventory information by Annex I Parties to the UNFCCC&amp;R&amp;P+24</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739C9-7041-4C60-9689-08851A610615}">
  <sheetPr>
    <tabColor rgb="FF5BC4BE"/>
  </sheetPr>
  <dimension ref="A1:M41"/>
  <sheetViews>
    <sheetView workbookViewId="0">
      <selection activeCell="L7" sqref="L7"/>
    </sheetView>
  </sheetViews>
  <sheetFormatPr defaultRowHeight="15" x14ac:dyDescent="0.25"/>
  <cols>
    <col min="1" max="1" width="16.28515625" style="11" customWidth="1"/>
    <col min="2" max="9" width="9.140625" style="11"/>
    <col min="10" max="10" width="23" style="11" bestFit="1" customWidth="1"/>
    <col min="11" max="11" width="9.140625" style="11"/>
    <col min="12" max="12" width="11.5703125" style="11" bestFit="1" customWidth="1"/>
    <col min="13" max="13" width="10.140625" style="11" customWidth="1"/>
    <col min="14" max="16384" width="9.140625" style="11"/>
  </cols>
  <sheetData>
    <row r="1" spans="1:13" x14ac:dyDescent="0.25">
      <c r="A1" s="11" t="s">
        <v>356</v>
      </c>
    </row>
    <row r="2" spans="1:13" x14ac:dyDescent="0.25">
      <c r="A2" s="23" t="s">
        <v>364</v>
      </c>
      <c r="F2" s="1"/>
    </row>
    <row r="3" spans="1:13" x14ac:dyDescent="0.25">
      <c r="A3" s="23"/>
      <c r="F3" s="8">
        <f>'NDC tool'!B4</f>
        <v>2</v>
      </c>
      <c r="G3" s="11" t="s">
        <v>353</v>
      </c>
    </row>
    <row r="5" spans="1:13" x14ac:dyDescent="0.25">
      <c r="B5" s="11">
        <v>1</v>
      </c>
      <c r="C5" s="11">
        <v>2</v>
      </c>
      <c r="D5" s="11">
        <v>3</v>
      </c>
    </row>
    <row r="6" spans="1:13" x14ac:dyDescent="0.25">
      <c r="B6" s="11" t="s">
        <v>12</v>
      </c>
      <c r="C6" s="11" t="s">
        <v>11</v>
      </c>
      <c r="D6" s="11" t="s">
        <v>191</v>
      </c>
      <c r="F6" s="11" t="s">
        <v>348</v>
      </c>
    </row>
    <row r="7" spans="1:13" x14ac:dyDescent="0.25">
      <c r="A7" s="11" t="s">
        <v>150</v>
      </c>
      <c r="B7" s="11">
        <v>21</v>
      </c>
      <c r="C7" s="11">
        <v>25</v>
      </c>
      <c r="D7" s="11">
        <v>28</v>
      </c>
      <c r="F7" s="11">
        <f ca="1">OFFSET(A7,0,$F$3,1,1)</f>
        <v>25</v>
      </c>
    </row>
    <row r="8" spans="1:13" x14ac:dyDescent="0.25">
      <c r="A8" s="11" t="s">
        <v>151</v>
      </c>
      <c r="B8" s="11">
        <v>310</v>
      </c>
      <c r="C8" s="11">
        <v>298</v>
      </c>
      <c r="D8" s="11">
        <v>265</v>
      </c>
      <c r="F8" s="11">
        <f t="shared" ref="F8:F41" ca="1" si="0">OFFSET(A8,0,$F$3,1,1)</f>
        <v>298</v>
      </c>
      <c r="L8" s="127"/>
      <c r="M8" s="128"/>
    </row>
    <row r="9" spans="1:13" x14ac:dyDescent="0.25">
      <c r="A9" s="112" t="s">
        <v>290</v>
      </c>
      <c r="B9" s="11">
        <v>11700</v>
      </c>
      <c r="C9" s="11">
        <v>14800</v>
      </c>
      <c r="D9" s="11">
        <v>12400</v>
      </c>
      <c r="F9" s="11">
        <f t="shared" ca="1" si="0"/>
        <v>14800</v>
      </c>
    </row>
    <row r="10" spans="1:13" x14ac:dyDescent="0.25">
      <c r="A10" s="112" t="s">
        <v>291</v>
      </c>
      <c r="B10" s="11">
        <v>650</v>
      </c>
      <c r="C10" s="11">
        <v>675</v>
      </c>
      <c r="D10" s="11">
        <v>677</v>
      </c>
      <c r="F10" s="11">
        <f t="shared" ca="1" si="0"/>
        <v>675</v>
      </c>
    </row>
    <row r="11" spans="1:13" x14ac:dyDescent="0.25">
      <c r="A11" s="112" t="s">
        <v>292</v>
      </c>
      <c r="B11" s="11">
        <v>150</v>
      </c>
      <c r="C11" s="19"/>
      <c r="D11" s="11">
        <v>116</v>
      </c>
      <c r="F11" s="11">
        <f t="shared" ca="1" si="0"/>
        <v>0</v>
      </c>
    </row>
    <row r="12" spans="1:13" x14ac:dyDescent="0.25">
      <c r="A12" s="112" t="s">
        <v>294</v>
      </c>
      <c r="B12" s="11">
        <v>1300</v>
      </c>
      <c r="C12" s="11">
        <v>1640</v>
      </c>
      <c r="D12" s="11">
        <v>1650</v>
      </c>
      <c r="F12" s="11">
        <f t="shared" ca="1" si="0"/>
        <v>1640</v>
      </c>
    </row>
    <row r="13" spans="1:13" x14ac:dyDescent="0.25">
      <c r="A13" s="112" t="s">
        <v>295</v>
      </c>
      <c r="B13" s="11">
        <v>2800</v>
      </c>
      <c r="C13" s="11">
        <v>3500</v>
      </c>
      <c r="D13" s="11">
        <v>3170</v>
      </c>
      <c r="F13" s="11">
        <f t="shared" ca="1" si="0"/>
        <v>3500</v>
      </c>
    </row>
    <row r="14" spans="1:13" x14ac:dyDescent="0.25">
      <c r="A14" s="112" t="s">
        <v>296</v>
      </c>
      <c r="B14" s="11">
        <v>1000</v>
      </c>
      <c r="C14" s="19"/>
      <c r="D14" s="11">
        <v>1120</v>
      </c>
      <c r="F14" s="11">
        <f t="shared" ca="1" si="0"/>
        <v>0</v>
      </c>
    </row>
    <row r="15" spans="1:13" x14ac:dyDescent="0.25">
      <c r="A15" s="112" t="s">
        <v>297</v>
      </c>
      <c r="B15" s="11">
        <v>1300</v>
      </c>
      <c r="C15" s="11">
        <v>1430</v>
      </c>
      <c r="D15" s="11">
        <v>1300</v>
      </c>
      <c r="F15" s="11">
        <f t="shared" ca="1" si="0"/>
        <v>1430</v>
      </c>
    </row>
    <row r="16" spans="1:13" x14ac:dyDescent="0.25">
      <c r="A16" s="112" t="s">
        <v>298</v>
      </c>
      <c r="B16" s="11">
        <v>300</v>
      </c>
      <c r="C16" s="19"/>
      <c r="D16" s="11">
        <v>328</v>
      </c>
      <c r="F16" s="11">
        <f t="shared" ca="1" si="0"/>
        <v>0</v>
      </c>
    </row>
    <row r="17" spans="1:6" x14ac:dyDescent="0.25">
      <c r="A17" s="112" t="s">
        <v>299</v>
      </c>
      <c r="B17" s="11">
        <v>3800</v>
      </c>
      <c r="C17" s="11">
        <v>4470</v>
      </c>
      <c r="D17" s="11">
        <v>4800</v>
      </c>
      <c r="F17" s="11">
        <f t="shared" ca="1" si="0"/>
        <v>4470</v>
      </c>
    </row>
    <row r="18" spans="1:6" x14ac:dyDescent="0.25">
      <c r="A18" s="112" t="s">
        <v>300</v>
      </c>
      <c r="D18" s="11">
        <v>16</v>
      </c>
      <c r="F18" s="11">
        <f t="shared" ca="1" si="0"/>
        <v>0</v>
      </c>
    </row>
    <row r="19" spans="1:6" x14ac:dyDescent="0.25">
      <c r="A19" s="112" t="s">
        <v>301</v>
      </c>
      <c r="B19" s="11">
        <v>140</v>
      </c>
      <c r="C19" s="11">
        <v>124</v>
      </c>
      <c r="D19" s="11">
        <v>138</v>
      </c>
      <c r="F19" s="11">
        <f t="shared" ca="1" si="0"/>
        <v>124</v>
      </c>
    </row>
    <row r="20" spans="1:6" x14ac:dyDescent="0.25">
      <c r="A20" s="112" t="s">
        <v>302</v>
      </c>
      <c r="D20" s="11">
        <v>4</v>
      </c>
      <c r="F20" s="11">
        <f t="shared" ca="1" si="0"/>
        <v>0</v>
      </c>
    </row>
    <row r="21" spans="1:6" x14ac:dyDescent="0.25">
      <c r="A21" s="112" t="s">
        <v>303</v>
      </c>
      <c r="B21" s="11">
        <v>2900</v>
      </c>
      <c r="C21" s="11">
        <v>3220</v>
      </c>
      <c r="D21" s="11">
        <v>3350</v>
      </c>
      <c r="F21" s="11">
        <f t="shared" ca="1" si="0"/>
        <v>3220</v>
      </c>
    </row>
    <row r="22" spans="1:6" x14ac:dyDescent="0.25">
      <c r="A22" s="112" t="s">
        <v>304</v>
      </c>
      <c r="D22" s="11">
        <v>1210</v>
      </c>
      <c r="F22" s="11">
        <f t="shared" ca="1" si="0"/>
        <v>0</v>
      </c>
    </row>
    <row r="23" spans="1:6" x14ac:dyDescent="0.25">
      <c r="A23" s="112" t="s">
        <v>305</v>
      </c>
      <c r="D23" s="11">
        <v>1330</v>
      </c>
      <c r="F23" s="11">
        <f t="shared" ca="1" si="0"/>
        <v>0</v>
      </c>
    </row>
    <row r="24" spans="1:6" x14ac:dyDescent="0.25">
      <c r="A24" s="112" t="s">
        <v>306</v>
      </c>
      <c r="B24" s="11">
        <v>6300</v>
      </c>
      <c r="C24" s="11">
        <v>9810</v>
      </c>
      <c r="D24" s="11">
        <v>8060</v>
      </c>
      <c r="F24" s="11">
        <f t="shared" ca="1" si="0"/>
        <v>9810</v>
      </c>
    </row>
    <row r="25" spans="1:6" x14ac:dyDescent="0.25">
      <c r="A25" s="112" t="s">
        <v>307</v>
      </c>
      <c r="B25" s="11">
        <v>560</v>
      </c>
      <c r="C25" s="19"/>
      <c r="D25" s="11">
        <v>716</v>
      </c>
      <c r="F25" s="11">
        <f t="shared" ca="1" si="0"/>
        <v>0</v>
      </c>
    </row>
    <row r="26" spans="1:6" x14ac:dyDescent="0.25">
      <c r="A26" s="112" t="s">
        <v>308</v>
      </c>
      <c r="C26" s="11">
        <v>1030</v>
      </c>
      <c r="D26" s="11">
        <v>858</v>
      </c>
      <c r="F26" s="11">
        <f t="shared" ca="1" si="0"/>
        <v>1030</v>
      </c>
    </row>
    <row r="27" spans="1:6" x14ac:dyDescent="0.25">
      <c r="A27" s="112" t="s">
        <v>309</v>
      </c>
      <c r="C27" s="11">
        <v>794</v>
      </c>
      <c r="D27" s="11">
        <v>804</v>
      </c>
      <c r="F27" s="11">
        <f t="shared" ca="1" si="0"/>
        <v>794</v>
      </c>
    </row>
    <row r="28" spans="1:6" x14ac:dyDescent="0.25">
      <c r="A28" s="112"/>
    </row>
    <row r="29" spans="1:6" x14ac:dyDescent="0.25">
      <c r="A29" s="112"/>
    </row>
    <row r="30" spans="1:6" x14ac:dyDescent="0.25">
      <c r="A30" s="112" t="s">
        <v>312</v>
      </c>
      <c r="B30" s="11">
        <v>6500</v>
      </c>
      <c r="C30" s="11">
        <v>7390</v>
      </c>
      <c r="D30" s="11">
        <v>6630</v>
      </c>
      <c r="F30" s="11">
        <f t="shared" ca="1" si="0"/>
        <v>7390</v>
      </c>
    </row>
    <row r="31" spans="1:6" x14ac:dyDescent="0.25">
      <c r="A31" s="112" t="s">
        <v>313</v>
      </c>
      <c r="B31" s="11">
        <v>9200</v>
      </c>
      <c r="C31" s="11">
        <v>12200</v>
      </c>
      <c r="D31" s="11">
        <v>11100</v>
      </c>
      <c r="F31" s="11">
        <f t="shared" ca="1" si="0"/>
        <v>12200</v>
      </c>
    </row>
    <row r="32" spans="1:6" x14ac:dyDescent="0.25">
      <c r="A32" s="112" t="s">
        <v>314</v>
      </c>
      <c r="B32" s="11">
        <v>7000</v>
      </c>
      <c r="C32" s="11">
        <v>8830</v>
      </c>
      <c r="D32" s="11">
        <v>8900</v>
      </c>
      <c r="F32" s="11">
        <f t="shared" ca="1" si="0"/>
        <v>8830</v>
      </c>
    </row>
    <row r="33" spans="1:6" x14ac:dyDescent="0.25">
      <c r="A33" s="112" t="s">
        <v>315</v>
      </c>
      <c r="B33" s="11">
        <v>7000</v>
      </c>
      <c r="C33" s="11">
        <v>8860</v>
      </c>
      <c r="D33" s="11">
        <v>9200</v>
      </c>
      <c r="F33" s="11">
        <f t="shared" ca="1" si="0"/>
        <v>8860</v>
      </c>
    </row>
    <row r="34" spans="1:6" x14ac:dyDescent="0.25">
      <c r="A34" s="112" t="s">
        <v>316</v>
      </c>
      <c r="B34" s="11">
        <v>8700</v>
      </c>
      <c r="C34" s="11">
        <v>10300</v>
      </c>
      <c r="D34" s="11">
        <v>9540</v>
      </c>
      <c r="F34" s="11">
        <f t="shared" ca="1" si="0"/>
        <v>10300</v>
      </c>
    </row>
    <row r="35" spans="1:6" x14ac:dyDescent="0.25">
      <c r="A35" s="112" t="s">
        <v>317</v>
      </c>
      <c r="B35" s="11">
        <v>7500</v>
      </c>
      <c r="C35" s="11">
        <v>9160</v>
      </c>
      <c r="D35" s="11">
        <v>8550</v>
      </c>
      <c r="F35" s="11">
        <f t="shared" ca="1" si="0"/>
        <v>9160</v>
      </c>
    </row>
    <row r="36" spans="1:6" x14ac:dyDescent="0.25">
      <c r="A36" s="112" t="s">
        <v>318</v>
      </c>
      <c r="B36" s="11">
        <v>7400</v>
      </c>
      <c r="C36" s="11">
        <v>9300</v>
      </c>
      <c r="D36" s="11">
        <v>7910</v>
      </c>
      <c r="F36" s="11">
        <f t="shared" ca="1" si="0"/>
        <v>9300</v>
      </c>
    </row>
    <row r="37" spans="1:6" x14ac:dyDescent="0.25">
      <c r="A37" s="112" t="s">
        <v>319</v>
      </c>
      <c r="C37" s="11">
        <v>7500</v>
      </c>
      <c r="D37" s="11">
        <v>7190</v>
      </c>
      <c r="E37" s="11" t="s">
        <v>349</v>
      </c>
      <c r="F37" s="11">
        <f t="shared" ca="1" si="0"/>
        <v>7500</v>
      </c>
    </row>
    <row r="38" spans="1:6" x14ac:dyDescent="0.25">
      <c r="A38" s="112" t="s">
        <v>320</v>
      </c>
      <c r="D38" s="11">
        <v>9200</v>
      </c>
      <c r="F38" s="11">
        <f t="shared" ca="1" si="0"/>
        <v>0</v>
      </c>
    </row>
    <row r="39" spans="1:6" x14ac:dyDescent="0.25">
      <c r="A39" s="129"/>
    </row>
    <row r="40" spans="1:6" x14ac:dyDescent="0.25">
      <c r="A40" s="129"/>
    </row>
    <row r="41" spans="1:6" x14ac:dyDescent="0.25">
      <c r="A41" s="117" t="s">
        <v>324</v>
      </c>
      <c r="B41" s="11">
        <v>23900</v>
      </c>
      <c r="C41" s="11">
        <v>22800</v>
      </c>
      <c r="D41" s="11">
        <v>23500</v>
      </c>
      <c r="F41" s="11">
        <f t="shared" ca="1" si="0"/>
        <v>22800</v>
      </c>
    </row>
  </sheetData>
  <hyperlinks>
    <hyperlink ref="A2" r:id="rId1" xr:uid="{BC70D9B4-5ED5-4B14-9094-C0A1B29B60EA}"/>
  </hyperlinks>
  <pageMargins left="0.7" right="0.7"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9891D-1C1C-4BD9-9BEE-AB8032F0221E}">
  <sheetPr>
    <tabColor rgb="FF5BC4BE"/>
  </sheetPr>
  <dimension ref="A1:AF55"/>
  <sheetViews>
    <sheetView topLeftCell="A11" workbookViewId="0">
      <selection activeCell="U6" sqref="U6"/>
    </sheetView>
  </sheetViews>
  <sheetFormatPr defaultRowHeight="15" x14ac:dyDescent="0.25"/>
  <cols>
    <col min="1" max="1" width="23.85546875" style="11" customWidth="1"/>
    <col min="2" max="2" width="12" style="11" bestFit="1" customWidth="1"/>
    <col min="3" max="8" width="9.140625" style="11"/>
    <col min="9" max="10" width="12" style="11" bestFit="1" customWidth="1"/>
    <col min="11" max="26" width="9.140625" style="11"/>
    <col min="27" max="27" width="19.85546875" style="11" bestFit="1" customWidth="1"/>
    <col min="28" max="28" width="22" style="11" bestFit="1" customWidth="1"/>
    <col min="29" max="16384" width="9.140625" style="11"/>
  </cols>
  <sheetData>
    <row r="1" spans="1:32" x14ac:dyDescent="0.25">
      <c r="A1" s="11" t="s">
        <v>330</v>
      </c>
      <c r="B1" s="19" t="s">
        <v>331</v>
      </c>
    </row>
    <row r="2" spans="1:32" x14ac:dyDescent="0.25">
      <c r="A2" s="11" t="s">
        <v>332</v>
      </c>
      <c r="B2" s="11" t="b">
        <f ca="1">AND(B47,B50,B53)</f>
        <v>1</v>
      </c>
      <c r="C2" s="11" t="b">
        <f t="shared" ref="C2:AF2" ca="1" si="0">AND(C47,C50,C53)</f>
        <v>1</v>
      </c>
      <c r="D2" s="11" t="b">
        <f t="shared" ca="1" si="0"/>
        <v>1</v>
      </c>
      <c r="E2" s="11" t="b">
        <f t="shared" ca="1" si="0"/>
        <v>1</v>
      </c>
      <c r="F2" s="11" t="b">
        <f t="shared" ca="1" si="0"/>
        <v>1</v>
      </c>
      <c r="G2" s="11" t="b">
        <f t="shared" ca="1" si="0"/>
        <v>0</v>
      </c>
      <c r="H2" s="11" t="b">
        <f t="shared" ca="1" si="0"/>
        <v>0</v>
      </c>
      <c r="I2" s="11" t="b">
        <f t="shared" ca="1" si="0"/>
        <v>0</v>
      </c>
      <c r="J2" s="11" t="b">
        <f t="shared" ca="1" si="0"/>
        <v>0</v>
      </c>
      <c r="K2" s="11" t="b">
        <f t="shared" ca="1" si="0"/>
        <v>0</v>
      </c>
      <c r="L2" s="11" t="b">
        <f t="shared" ca="1" si="0"/>
        <v>0</v>
      </c>
      <c r="M2" s="11" t="b">
        <f t="shared" ca="1" si="0"/>
        <v>0</v>
      </c>
      <c r="N2" s="11" t="b">
        <f t="shared" ca="1" si="0"/>
        <v>0</v>
      </c>
      <c r="O2" s="11" t="b">
        <f t="shared" ca="1" si="0"/>
        <v>0</v>
      </c>
      <c r="P2" s="11" t="b">
        <f t="shared" ca="1" si="0"/>
        <v>0</v>
      </c>
      <c r="Q2" s="11" t="b">
        <f t="shared" ca="1" si="0"/>
        <v>0</v>
      </c>
      <c r="R2" s="11" t="b">
        <f t="shared" ca="1" si="0"/>
        <v>0</v>
      </c>
      <c r="S2" s="11" t="b">
        <f t="shared" ca="1" si="0"/>
        <v>0</v>
      </c>
      <c r="T2" s="11" t="b">
        <f t="shared" ca="1" si="0"/>
        <v>0</v>
      </c>
      <c r="U2" s="11" t="b">
        <f t="shared" ca="1" si="0"/>
        <v>1</v>
      </c>
      <c r="V2" s="11" t="b">
        <f t="shared" ca="1" si="0"/>
        <v>0</v>
      </c>
      <c r="W2" s="11" t="b">
        <f t="shared" ca="1" si="0"/>
        <v>0</v>
      </c>
      <c r="X2" s="11" t="b">
        <f t="shared" ca="1" si="0"/>
        <v>0</v>
      </c>
      <c r="Y2" s="11" t="b">
        <f t="shared" ca="1" si="0"/>
        <v>0</v>
      </c>
      <c r="Z2" s="11" t="b">
        <f t="shared" ca="1" si="0"/>
        <v>0</v>
      </c>
      <c r="AA2" s="11" t="b">
        <f t="shared" ca="1" si="0"/>
        <v>0</v>
      </c>
      <c r="AB2" s="11" t="b">
        <f t="shared" ca="1" si="0"/>
        <v>0</v>
      </c>
      <c r="AC2" s="11" t="b">
        <f t="shared" ca="1" si="0"/>
        <v>0</v>
      </c>
      <c r="AD2" s="11" t="b">
        <f t="shared" ca="1" si="0"/>
        <v>0</v>
      </c>
      <c r="AE2" s="11" t="b">
        <f t="shared" ca="1" si="0"/>
        <v>0</v>
      </c>
      <c r="AF2" s="11" t="b">
        <f t="shared" ca="1" si="0"/>
        <v>0</v>
      </c>
    </row>
    <row r="3" spans="1:32" x14ac:dyDescent="0.25">
      <c r="A3" s="11" t="s">
        <v>333</v>
      </c>
      <c r="B3" s="11" t="b">
        <f ca="1">AND(B49,B52,B55)</f>
        <v>1</v>
      </c>
      <c r="C3" s="11" t="b">
        <f t="shared" ref="C3:AF3" ca="1" si="1">AND(C49,C52,C55)</f>
        <v>1</v>
      </c>
      <c r="D3" s="11" t="b">
        <f t="shared" ca="1" si="1"/>
        <v>1</v>
      </c>
      <c r="E3" s="11" t="b">
        <f t="shared" ca="1" si="1"/>
        <v>1</v>
      </c>
      <c r="F3" s="11" t="b">
        <f t="shared" ca="1" si="1"/>
        <v>1</v>
      </c>
      <c r="G3" s="11" t="b">
        <f t="shared" ca="1" si="1"/>
        <v>1</v>
      </c>
      <c r="H3" s="11" t="b">
        <f t="shared" ca="1" si="1"/>
        <v>1</v>
      </c>
      <c r="I3" s="11" t="b">
        <f t="shared" ca="1" si="1"/>
        <v>1</v>
      </c>
      <c r="J3" s="11" t="b">
        <f t="shared" ca="1" si="1"/>
        <v>1</v>
      </c>
      <c r="K3" s="11" t="b">
        <f t="shared" ca="1" si="1"/>
        <v>1</v>
      </c>
      <c r="L3" s="11" t="b">
        <f t="shared" ca="1" si="1"/>
        <v>1</v>
      </c>
      <c r="M3" s="11" t="b">
        <f t="shared" ca="1" si="1"/>
        <v>1</v>
      </c>
      <c r="N3" s="11" t="b">
        <f t="shared" ca="1" si="1"/>
        <v>1</v>
      </c>
      <c r="O3" s="11" t="b">
        <f t="shared" ca="1" si="1"/>
        <v>1</v>
      </c>
      <c r="P3" s="11" t="b">
        <f t="shared" ca="1" si="1"/>
        <v>1</v>
      </c>
      <c r="Q3" s="11" t="b">
        <f t="shared" ca="1" si="1"/>
        <v>1</v>
      </c>
      <c r="R3" s="11" t="b">
        <f t="shared" ca="1" si="1"/>
        <v>1</v>
      </c>
      <c r="S3" s="11" t="b">
        <f t="shared" ca="1" si="1"/>
        <v>1</v>
      </c>
      <c r="T3" s="11" t="b">
        <f t="shared" ca="1" si="1"/>
        <v>1</v>
      </c>
      <c r="U3" s="11" t="b">
        <f t="shared" ca="1" si="1"/>
        <v>1</v>
      </c>
      <c r="V3" s="11" t="b">
        <f t="shared" ca="1" si="1"/>
        <v>1</v>
      </c>
      <c r="W3" s="11" t="b">
        <f t="shared" ca="1" si="1"/>
        <v>1</v>
      </c>
      <c r="X3" s="11" t="b">
        <f t="shared" ca="1" si="1"/>
        <v>1</v>
      </c>
      <c r="Y3" s="11" t="b">
        <f t="shared" ca="1" si="1"/>
        <v>1</v>
      </c>
      <c r="Z3" s="11" t="b">
        <f t="shared" ca="1" si="1"/>
        <v>1</v>
      </c>
      <c r="AA3" s="11" t="b">
        <f t="shared" ca="1" si="1"/>
        <v>1</v>
      </c>
      <c r="AB3" s="11" t="b">
        <f t="shared" ca="1" si="1"/>
        <v>1</v>
      </c>
      <c r="AC3" s="11" t="b">
        <f t="shared" ca="1" si="1"/>
        <v>1</v>
      </c>
      <c r="AD3" s="11" t="b">
        <f t="shared" ca="1" si="1"/>
        <v>1</v>
      </c>
      <c r="AE3" s="11" t="b">
        <f t="shared" ca="1" si="1"/>
        <v>1</v>
      </c>
      <c r="AF3" s="11" t="b">
        <f t="shared" ca="1" si="1"/>
        <v>1</v>
      </c>
    </row>
    <row r="4" spans="1:32" x14ac:dyDescent="0.25">
      <c r="A4" s="11" t="s">
        <v>334</v>
      </c>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row>
    <row r="5" spans="1:32" x14ac:dyDescent="0.25">
      <c r="A5" s="3">
        <v>9.9999999999999995E-7</v>
      </c>
    </row>
    <row r="8" spans="1:32" x14ac:dyDescent="0.25">
      <c r="B8" s="15" t="s">
        <v>282</v>
      </c>
      <c r="C8" s="15" t="s">
        <v>42</v>
      </c>
      <c r="D8" s="15" t="s">
        <v>43</v>
      </c>
      <c r="E8" s="15" t="s">
        <v>44</v>
      </c>
      <c r="F8" s="15" t="s">
        <v>45</v>
      </c>
      <c r="G8" s="15" t="s">
        <v>46</v>
      </c>
      <c r="H8" s="15" t="s">
        <v>47</v>
      </c>
      <c r="I8" s="15" t="s">
        <v>48</v>
      </c>
      <c r="J8" s="15" t="s">
        <v>49</v>
      </c>
      <c r="K8" s="15" t="s">
        <v>50</v>
      </c>
      <c r="L8" s="15" t="s">
        <v>51</v>
      </c>
      <c r="M8" s="15" t="s">
        <v>52</v>
      </c>
      <c r="N8" s="15" t="s">
        <v>53</v>
      </c>
      <c r="O8" s="15" t="s">
        <v>54</v>
      </c>
      <c r="P8" s="15" t="s">
        <v>55</v>
      </c>
      <c r="Q8" s="15" t="s">
        <v>56</v>
      </c>
      <c r="R8" s="15" t="s">
        <v>57</v>
      </c>
      <c r="S8" s="15" t="s">
        <v>58</v>
      </c>
      <c r="T8" s="15" t="s">
        <v>59</v>
      </c>
      <c r="U8" s="15" t="s">
        <v>60</v>
      </c>
      <c r="V8" s="15" t="s">
        <v>61</v>
      </c>
      <c r="W8" s="15" t="s">
        <v>62</v>
      </c>
      <c r="X8" s="15" t="s">
        <v>63</v>
      </c>
      <c r="Y8" s="15" t="s">
        <v>64</v>
      </c>
      <c r="Z8" s="15" t="s">
        <v>65</v>
      </c>
      <c r="AA8" s="15" t="s">
        <v>283</v>
      </c>
      <c r="AB8" s="15" t="s">
        <v>66</v>
      </c>
      <c r="AC8" s="15" t="s">
        <v>67</v>
      </c>
      <c r="AD8" s="15" t="s">
        <v>68</v>
      </c>
      <c r="AE8" s="15" t="s">
        <v>69</v>
      </c>
      <c r="AF8" s="15" t="s">
        <v>78</v>
      </c>
    </row>
    <row r="9" spans="1:32" x14ac:dyDescent="0.25">
      <c r="A9" s="112" t="s">
        <v>290</v>
      </c>
      <c r="B9" s="11" t="e">
        <f ca="1">Table10s5!B9*'F-gas GWPs'!$F9</f>
        <v>#VALUE!</v>
      </c>
      <c r="C9" s="11" t="e">
        <f ca="1">Table10s5!C9*'F-gas GWPs'!$F9</f>
        <v>#VALUE!</v>
      </c>
      <c r="D9" s="11" t="e">
        <f ca="1">Table10s5!D9*'F-gas GWPs'!$F9</f>
        <v>#VALUE!</v>
      </c>
      <c r="E9" s="11" t="e">
        <f ca="1">Table10s5!E9*'F-gas GWPs'!$F9</f>
        <v>#VALUE!</v>
      </c>
      <c r="F9" s="11" t="e">
        <f ca="1">Table10s5!F9*'F-gas GWPs'!$F9</f>
        <v>#VALUE!</v>
      </c>
      <c r="G9" s="11" t="e">
        <f ca="1">Table10s5!G9*'F-gas GWPs'!$F9</f>
        <v>#VALUE!</v>
      </c>
      <c r="H9" s="11" t="e">
        <f ca="1">Table10s5!H9*'F-gas GWPs'!$F9</f>
        <v>#VALUE!</v>
      </c>
      <c r="I9" s="11" t="e">
        <f ca="1">Table10s5!I9*'F-gas GWPs'!$F9</f>
        <v>#VALUE!</v>
      </c>
      <c r="J9" s="11" t="e">
        <f ca="1">Table10s5!J9*'F-gas GWPs'!$F9</f>
        <v>#VALUE!</v>
      </c>
      <c r="K9" s="11" t="e">
        <f ca="1">Table10s5!K9*'F-gas GWPs'!$F9</f>
        <v>#VALUE!</v>
      </c>
      <c r="L9" s="11" t="e">
        <f ca="1">Table10s5!L9*'F-gas GWPs'!$F9</f>
        <v>#VALUE!</v>
      </c>
      <c r="M9" s="11" t="e">
        <f ca="1">Table10s5!M9*'F-gas GWPs'!$F9</f>
        <v>#VALUE!</v>
      </c>
      <c r="N9" s="11" t="e">
        <f ca="1">Table10s5!N9*'F-gas GWPs'!$F9</f>
        <v>#VALUE!</v>
      </c>
      <c r="O9" s="11">
        <f ca="1">Table10s5!O9*'F-gas GWPs'!$F9</f>
        <v>0.38479999999999998</v>
      </c>
      <c r="P9" s="11">
        <f ca="1">Table10s5!P9*'F-gas GWPs'!$F9</f>
        <v>1.2283999999999999</v>
      </c>
      <c r="Q9" s="11" t="e">
        <f ca="1">Table10s5!Q9*'F-gas GWPs'!$F9</f>
        <v>#VALUE!</v>
      </c>
      <c r="R9" s="11" t="e">
        <f ca="1">Table10s5!R9*'F-gas GWPs'!$F9</f>
        <v>#VALUE!</v>
      </c>
      <c r="S9" s="11">
        <f ca="1">Table10s5!S9*'F-gas GWPs'!$F9</f>
        <v>7.4</v>
      </c>
      <c r="T9" s="11" t="e">
        <f ca="1">Table10s5!T9*'F-gas GWPs'!$F9</f>
        <v>#VALUE!</v>
      </c>
      <c r="U9" s="11" t="e">
        <f ca="1">Table10s5!U9*'F-gas GWPs'!$F9</f>
        <v>#VALUE!</v>
      </c>
      <c r="V9" s="11" t="e">
        <f ca="1">Table10s5!V9*'F-gas GWPs'!$F9</f>
        <v>#VALUE!</v>
      </c>
      <c r="W9" s="11">
        <f ca="1">Table10s5!W9*'F-gas GWPs'!$F9</f>
        <v>0.30635999999999997</v>
      </c>
      <c r="X9" s="11" t="e">
        <f ca="1">Table10s5!X9*'F-gas GWPs'!$F9</f>
        <v>#VALUE!</v>
      </c>
      <c r="Y9" s="11" t="e">
        <f ca="1">Table10s5!Y9*'F-gas GWPs'!$F9</f>
        <v>#VALUE!</v>
      </c>
      <c r="Z9" s="11" t="e">
        <f ca="1">Table10s5!Z9*'F-gas GWPs'!$F9</f>
        <v>#VALUE!</v>
      </c>
      <c r="AA9" s="11" t="e">
        <f ca="1">Table10s5!AA9*'F-gas GWPs'!$F9</f>
        <v>#VALUE!</v>
      </c>
      <c r="AB9" s="11" t="e">
        <f ca="1">Table10s5!AB9*'F-gas GWPs'!$F9</f>
        <v>#VALUE!</v>
      </c>
      <c r="AC9" s="11" t="e">
        <f ca="1">Table10s5!AC9*'F-gas GWPs'!$F9</f>
        <v>#VALUE!</v>
      </c>
      <c r="AD9" s="11">
        <f ca="1">Table10s5!AD9*'F-gas GWPs'!$F9</f>
        <v>0.53280000000000005</v>
      </c>
      <c r="AE9" s="11">
        <f ca="1">Table10s5!AE9*'F-gas GWPs'!$F9</f>
        <v>0.26640000000000003</v>
      </c>
      <c r="AF9" s="11" t="e">
        <f ca="1">Table10s5!AF9*'F-gas GWPs'!$F9</f>
        <v>#VALUE!</v>
      </c>
    </row>
    <row r="10" spans="1:32" x14ac:dyDescent="0.25">
      <c r="A10" s="112" t="s">
        <v>291</v>
      </c>
      <c r="B10" s="11" t="e">
        <f ca="1">Table10s5!B10*'F-gas GWPs'!$F10</f>
        <v>#VALUE!</v>
      </c>
      <c r="C10" s="11" t="e">
        <f ca="1">Table10s5!C10*'F-gas GWPs'!$F10</f>
        <v>#VALUE!</v>
      </c>
      <c r="D10" s="11" t="e">
        <f ca="1">Table10s5!D10*'F-gas GWPs'!$F10</f>
        <v>#VALUE!</v>
      </c>
      <c r="E10" s="11" t="e">
        <f ca="1">Table10s5!E10*'F-gas GWPs'!$F10</f>
        <v>#VALUE!</v>
      </c>
      <c r="F10" s="11" t="e">
        <f ca="1">Table10s5!F10*'F-gas GWPs'!$F10</f>
        <v>#VALUE!</v>
      </c>
      <c r="G10" s="11" t="e">
        <f ca="1">Table10s5!G10*'F-gas GWPs'!$F10</f>
        <v>#VALUE!</v>
      </c>
      <c r="H10" s="11">
        <f ca="1">Table10s5!H10*'F-gas GWPs'!$F10</f>
        <v>1.9506440344500001E-2</v>
      </c>
      <c r="I10" s="11">
        <f ca="1">Table10s5!I10*'F-gas GWPs'!$F10</f>
        <v>8.2537728414750003E-2</v>
      </c>
      <c r="J10" s="11">
        <f ca="1">Table10s5!J10*'F-gas GWPs'!$F10</f>
        <v>0.117489016485</v>
      </c>
      <c r="K10" s="11">
        <f ca="1">Table10s5!K10*'F-gas GWPs'!$F10</f>
        <v>0.27327901648500003</v>
      </c>
      <c r="L10" s="11">
        <f ca="1">Table10s5!L10*'F-gas GWPs'!$F10</f>
        <v>0.7487940323092499</v>
      </c>
      <c r="M10" s="11">
        <f ca="1">Table10s5!M10*'F-gas GWPs'!$F10</f>
        <v>1.0626476582789999</v>
      </c>
      <c r="N10" s="11">
        <f ca="1">Table10s5!N10*'F-gas GWPs'!$F10</f>
        <v>1.6597526773815001</v>
      </c>
      <c r="O10" s="11">
        <f ca="1">Table10s5!O10*'F-gas GWPs'!$F10</f>
        <v>2.4224606861512501</v>
      </c>
      <c r="P10" s="11">
        <f ca="1">Table10s5!P10*'F-gas GWPs'!$F10</f>
        <v>2.39462946</v>
      </c>
      <c r="Q10" s="11">
        <f ca="1">Table10s5!Q10*'F-gas GWPs'!$F10</f>
        <v>4.0738698644512503</v>
      </c>
      <c r="R10" s="11">
        <f ca="1">Table10s5!R10*'F-gas GWPs'!$F10</f>
        <v>4.1148657940184998</v>
      </c>
      <c r="S10" s="11">
        <f ca="1">Table10s5!S10*'F-gas GWPs'!$F10</f>
        <v>6.43831750596825</v>
      </c>
      <c r="T10" s="11">
        <f ca="1">Table10s5!T10*'F-gas GWPs'!$F10</f>
        <v>9.7248300112214991</v>
      </c>
      <c r="U10" s="11">
        <f ca="1">Table10s5!U10*'F-gas GWPs'!$F10</f>
        <v>12.5612762165955</v>
      </c>
      <c r="V10" s="11">
        <f ca="1">Table10s5!V10*'F-gas GWPs'!$F10</f>
        <v>12.202472848747499</v>
      </c>
      <c r="W10" s="11">
        <f ca="1">Table10s5!W10*'F-gas GWPs'!$F10</f>
        <v>16.750025412471</v>
      </c>
      <c r="X10" s="11">
        <f ca="1">Table10s5!X10*'F-gas GWPs'!$F10</f>
        <v>26.180632592055002</v>
      </c>
      <c r="Y10" s="11">
        <f ca="1">Table10s5!Y10*'F-gas GWPs'!$F10</f>
        <v>26.103244574591997</v>
      </c>
      <c r="Z10" s="11">
        <f ca="1">Table10s5!Z10*'F-gas GWPs'!$F10</f>
        <v>26.541523590695999</v>
      </c>
      <c r="AA10" s="11">
        <f ca="1">Table10s5!AA10*'F-gas GWPs'!$F10</f>
        <v>30.590623624637249</v>
      </c>
      <c r="AB10" s="11">
        <f ca="1">Table10s5!AB10*'F-gas GWPs'!$F10</f>
        <v>39.727948265700753</v>
      </c>
      <c r="AC10" s="11">
        <f ca="1">Table10s5!AC10*'F-gas GWPs'!$F10</f>
        <v>51.347582701492499</v>
      </c>
      <c r="AD10" s="11">
        <f ca="1">Table10s5!AD10*'F-gas GWPs'!$F10</f>
        <v>66.951695221766997</v>
      </c>
      <c r="AE10" s="11">
        <f ca="1">Table10s5!AE10*'F-gas GWPs'!$F10</f>
        <v>85.030407447036751</v>
      </c>
      <c r="AF10" s="11">
        <f ca="1">Table10s5!AF10*'F-gas GWPs'!$F10</f>
        <v>96.561940637661749</v>
      </c>
    </row>
    <row r="11" spans="1:32" x14ac:dyDescent="0.25">
      <c r="A11" s="112" t="s">
        <v>292</v>
      </c>
      <c r="B11" s="11" t="e">
        <f ca="1">Table10s5!B11*'F-gas GWPs'!$F11</f>
        <v>#VALUE!</v>
      </c>
      <c r="C11" s="11" t="e">
        <f ca="1">Table10s5!C11*'F-gas GWPs'!$F11</f>
        <v>#VALUE!</v>
      </c>
      <c r="D11" s="11" t="e">
        <f ca="1">Table10s5!D11*'F-gas GWPs'!$F11</f>
        <v>#VALUE!</v>
      </c>
      <c r="E11" s="11" t="e">
        <f ca="1">Table10s5!E11*'F-gas GWPs'!$F11</f>
        <v>#VALUE!</v>
      </c>
      <c r="F11" s="11" t="e">
        <f ca="1">Table10s5!F11*'F-gas GWPs'!$F11</f>
        <v>#VALUE!</v>
      </c>
      <c r="G11" s="11" t="e">
        <f ca="1">Table10s5!G11*'F-gas GWPs'!$F11</f>
        <v>#VALUE!</v>
      </c>
      <c r="H11" s="11" t="e">
        <f ca="1">Table10s5!H11*'F-gas GWPs'!$F11</f>
        <v>#VALUE!</v>
      </c>
      <c r="I11" s="11" t="e">
        <f ca="1">Table10s5!I11*'F-gas GWPs'!$F11</f>
        <v>#VALUE!</v>
      </c>
      <c r="J11" s="11" t="e">
        <f ca="1">Table10s5!J11*'F-gas GWPs'!$F11</f>
        <v>#VALUE!</v>
      </c>
      <c r="K11" s="11" t="e">
        <f ca="1">Table10s5!K11*'F-gas GWPs'!$F11</f>
        <v>#VALUE!</v>
      </c>
      <c r="L11" s="11" t="e">
        <f ca="1">Table10s5!L11*'F-gas GWPs'!$F11</f>
        <v>#VALUE!</v>
      </c>
      <c r="M11" s="11" t="e">
        <f ca="1">Table10s5!M11*'F-gas GWPs'!$F11</f>
        <v>#VALUE!</v>
      </c>
      <c r="N11" s="11" t="e">
        <f ca="1">Table10s5!N11*'F-gas GWPs'!$F11</f>
        <v>#VALUE!</v>
      </c>
      <c r="O11" s="11" t="e">
        <f ca="1">Table10s5!O11*'F-gas GWPs'!$F11</f>
        <v>#VALUE!</v>
      </c>
      <c r="P11" s="11" t="e">
        <f ca="1">Table10s5!P11*'F-gas GWPs'!$F11</f>
        <v>#VALUE!</v>
      </c>
      <c r="Q11" s="11" t="e">
        <f ca="1">Table10s5!Q11*'F-gas GWPs'!$F11</f>
        <v>#VALUE!</v>
      </c>
      <c r="R11" s="11" t="e">
        <f ca="1">Table10s5!R11*'F-gas GWPs'!$F11</f>
        <v>#VALUE!</v>
      </c>
      <c r="S11" s="11" t="e">
        <f ca="1">Table10s5!S11*'F-gas GWPs'!$F11</f>
        <v>#VALUE!</v>
      </c>
      <c r="T11" s="11" t="e">
        <f ca="1">Table10s5!T11*'F-gas GWPs'!$F11</f>
        <v>#VALUE!</v>
      </c>
      <c r="U11" s="11" t="e">
        <f ca="1">Table10s5!U11*'F-gas GWPs'!$F11</f>
        <v>#VALUE!</v>
      </c>
      <c r="V11" s="11" t="e">
        <f ca="1">Table10s5!V11*'F-gas GWPs'!$F11</f>
        <v>#VALUE!</v>
      </c>
      <c r="W11" s="11" t="e">
        <f ca="1">Table10s5!W11*'F-gas GWPs'!$F11</f>
        <v>#VALUE!</v>
      </c>
      <c r="X11" s="11" t="e">
        <f ca="1">Table10s5!X11*'F-gas GWPs'!$F11</f>
        <v>#VALUE!</v>
      </c>
      <c r="Y11" s="11" t="e">
        <f ca="1">Table10s5!Y11*'F-gas GWPs'!$F11</f>
        <v>#VALUE!</v>
      </c>
      <c r="Z11" s="11" t="e">
        <f ca="1">Table10s5!Z11*'F-gas GWPs'!$F11</f>
        <v>#VALUE!</v>
      </c>
      <c r="AA11" s="11" t="e">
        <f ca="1">Table10s5!AA11*'F-gas GWPs'!$F11</f>
        <v>#VALUE!</v>
      </c>
      <c r="AB11" s="11" t="e">
        <f ca="1">Table10s5!AB11*'F-gas GWPs'!$F11</f>
        <v>#VALUE!</v>
      </c>
      <c r="AC11" s="11" t="e">
        <f ca="1">Table10s5!AC11*'F-gas GWPs'!$F11</f>
        <v>#VALUE!</v>
      </c>
      <c r="AD11" s="11" t="e">
        <f ca="1">Table10s5!AD11*'F-gas GWPs'!$F11</f>
        <v>#VALUE!</v>
      </c>
      <c r="AE11" s="11" t="e">
        <f ca="1">Table10s5!AE11*'F-gas GWPs'!$F11</f>
        <v>#VALUE!</v>
      </c>
      <c r="AF11" s="11" t="e">
        <f ca="1">Table10s5!AF11*'F-gas GWPs'!$F11</f>
        <v>#VALUE!</v>
      </c>
    </row>
    <row r="12" spans="1:32" x14ac:dyDescent="0.25">
      <c r="A12" s="112" t="s">
        <v>294</v>
      </c>
      <c r="B12" s="11" t="e">
        <f ca="1">Table10s5!B12*'F-gas GWPs'!$F12</f>
        <v>#VALUE!</v>
      </c>
      <c r="C12" s="11" t="e">
        <f ca="1">Table10s5!C12*'F-gas GWPs'!$F12</f>
        <v>#VALUE!</v>
      </c>
      <c r="D12" s="11" t="e">
        <f ca="1">Table10s5!D12*'F-gas GWPs'!$F12</f>
        <v>#VALUE!</v>
      </c>
      <c r="E12" s="11" t="e">
        <f ca="1">Table10s5!E12*'F-gas GWPs'!$F12</f>
        <v>#VALUE!</v>
      </c>
      <c r="F12" s="11" t="e">
        <f ca="1">Table10s5!F12*'F-gas GWPs'!$F12</f>
        <v>#VALUE!</v>
      </c>
      <c r="G12" s="11" t="e">
        <f ca="1">Table10s5!G12*'F-gas GWPs'!$F12</f>
        <v>#VALUE!</v>
      </c>
      <c r="H12" s="11" t="e">
        <f ca="1">Table10s5!H12*'F-gas GWPs'!$F12</f>
        <v>#VALUE!</v>
      </c>
      <c r="I12" s="11" t="e">
        <f ca="1">Table10s5!I12*'F-gas GWPs'!$F12</f>
        <v>#VALUE!</v>
      </c>
      <c r="J12" s="11" t="e">
        <f ca="1">Table10s5!J12*'F-gas GWPs'!$F12</f>
        <v>#VALUE!</v>
      </c>
      <c r="K12" s="11" t="e">
        <f ca="1">Table10s5!K12*'F-gas GWPs'!$F12</f>
        <v>#VALUE!</v>
      </c>
      <c r="L12" s="11" t="e">
        <f ca="1">Table10s5!L12*'F-gas GWPs'!$F12</f>
        <v>#VALUE!</v>
      </c>
      <c r="M12" s="11" t="e">
        <f ca="1">Table10s5!M12*'F-gas GWPs'!$F12</f>
        <v>#VALUE!</v>
      </c>
      <c r="N12" s="11" t="e">
        <f ca="1">Table10s5!N12*'F-gas GWPs'!$F12</f>
        <v>#VALUE!</v>
      </c>
      <c r="O12" s="11" t="e">
        <f ca="1">Table10s5!O12*'F-gas GWPs'!$F12</f>
        <v>#VALUE!</v>
      </c>
      <c r="P12" s="11" t="e">
        <f ca="1">Table10s5!P12*'F-gas GWPs'!$F12</f>
        <v>#VALUE!</v>
      </c>
      <c r="Q12" s="11" t="e">
        <f ca="1">Table10s5!Q12*'F-gas GWPs'!$F12</f>
        <v>#VALUE!</v>
      </c>
      <c r="R12" s="11" t="e">
        <f ca="1">Table10s5!R12*'F-gas GWPs'!$F12</f>
        <v>#VALUE!</v>
      </c>
      <c r="S12" s="11" t="e">
        <f ca="1">Table10s5!S12*'F-gas GWPs'!$F12</f>
        <v>#VALUE!</v>
      </c>
      <c r="T12" s="11" t="e">
        <f ca="1">Table10s5!T12*'F-gas GWPs'!$F12</f>
        <v>#VALUE!</v>
      </c>
      <c r="U12" s="11" t="e">
        <f ca="1">Table10s5!U12*'F-gas GWPs'!$F12</f>
        <v>#VALUE!</v>
      </c>
      <c r="V12" s="11" t="e">
        <f ca="1">Table10s5!V12*'F-gas GWPs'!$F12</f>
        <v>#VALUE!</v>
      </c>
      <c r="W12" s="11" t="e">
        <f ca="1">Table10s5!W12*'F-gas GWPs'!$F12</f>
        <v>#VALUE!</v>
      </c>
      <c r="X12" s="11" t="e">
        <f ca="1">Table10s5!X12*'F-gas GWPs'!$F12</f>
        <v>#VALUE!</v>
      </c>
      <c r="Y12" s="11" t="e">
        <f ca="1">Table10s5!Y12*'F-gas GWPs'!$F12</f>
        <v>#VALUE!</v>
      </c>
      <c r="Z12" s="11" t="e">
        <f ca="1">Table10s5!Z12*'F-gas GWPs'!$F12</f>
        <v>#VALUE!</v>
      </c>
      <c r="AA12" s="11" t="e">
        <f ca="1">Table10s5!AA12*'F-gas GWPs'!$F12</f>
        <v>#VALUE!</v>
      </c>
      <c r="AB12" s="11" t="e">
        <f ca="1">Table10s5!AB12*'F-gas GWPs'!$F12</f>
        <v>#VALUE!</v>
      </c>
      <c r="AC12" s="11" t="e">
        <f ca="1">Table10s5!AC12*'F-gas GWPs'!$F12</f>
        <v>#VALUE!</v>
      </c>
      <c r="AD12" s="11" t="e">
        <f ca="1">Table10s5!AD12*'F-gas GWPs'!$F12</f>
        <v>#VALUE!</v>
      </c>
      <c r="AE12" s="11" t="e">
        <f ca="1">Table10s5!AE12*'F-gas GWPs'!$F12</f>
        <v>#VALUE!</v>
      </c>
      <c r="AF12" s="11" t="e">
        <f ca="1">Table10s5!AF12*'F-gas GWPs'!$F12</f>
        <v>#VALUE!</v>
      </c>
    </row>
    <row r="13" spans="1:32" x14ac:dyDescent="0.25">
      <c r="A13" s="112" t="s">
        <v>295</v>
      </c>
      <c r="B13" s="11" t="e">
        <f ca="1">Table10s5!B13*'F-gas GWPs'!$F13</f>
        <v>#VALUE!</v>
      </c>
      <c r="C13" s="11" t="e">
        <f ca="1">Table10s5!C13*'F-gas GWPs'!$F13</f>
        <v>#VALUE!</v>
      </c>
      <c r="D13" s="11" t="e">
        <f ca="1">Table10s5!D13*'F-gas GWPs'!$F13</f>
        <v>#VALUE!</v>
      </c>
      <c r="E13" s="11" t="e">
        <f ca="1">Table10s5!E13*'F-gas GWPs'!$F13</f>
        <v>#VALUE!</v>
      </c>
      <c r="F13" s="11" t="e">
        <f ca="1">Table10s5!F13*'F-gas GWPs'!$F13</f>
        <v>#VALUE!</v>
      </c>
      <c r="G13" s="11">
        <f ca="1">Table10s5!G13*'F-gas GWPs'!$F13</f>
        <v>3.6559599999999999</v>
      </c>
      <c r="H13" s="11">
        <f ca="1">Table10s5!H13*'F-gas GWPs'!$F13</f>
        <v>1.1311605494349999</v>
      </c>
      <c r="I13" s="11">
        <f ca="1">Table10s5!I13*'F-gas GWPs'!$F13</f>
        <v>11.150560659350001</v>
      </c>
      <c r="J13" s="11">
        <f ca="1">Table10s5!J13*'F-gas GWPs'!$F13</f>
        <v>18.031160769229999</v>
      </c>
      <c r="K13" s="11">
        <f ca="1">Table10s5!K13*'F-gas GWPs'!$F13</f>
        <v>11.87116076923</v>
      </c>
      <c r="L13" s="11">
        <f ca="1">Table10s5!L13*'F-gas GWPs'!$F13</f>
        <v>16.452762307695</v>
      </c>
      <c r="M13" s="11">
        <f ca="1">Table10s5!M13*'F-gas GWPs'!$F13</f>
        <v>29.643682276915001</v>
      </c>
      <c r="N13" s="11">
        <f ca="1">Table10s5!N13*'F-gas GWPs'!$F13</f>
        <v>52.596682384609998</v>
      </c>
      <c r="O13" s="11">
        <f ca="1">Table10s5!O13*'F-gas GWPs'!$F13</f>
        <v>67.384298153830002</v>
      </c>
      <c r="P13" s="11">
        <f ca="1">Table10s5!P13*'F-gas GWPs'!$F13</f>
        <v>89.772102000000004</v>
      </c>
      <c r="Q13" s="11">
        <f ca="1">Table10s5!Q13*'F-gas GWPs'!$F13</f>
        <v>126.98148986383001</v>
      </c>
      <c r="R13" s="11">
        <f ca="1">Table10s5!R13*'F-gas GWPs'!$F13</f>
        <v>162.99383542270502</v>
      </c>
      <c r="S13" s="11">
        <f ca="1">Table10s5!S13*'F-gas GWPs'!$F13</f>
        <v>190.24194674029999</v>
      </c>
      <c r="T13" s="11">
        <f ca="1">Table10s5!T13*'F-gas GWPs'!$F13</f>
        <v>240.5916102198</v>
      </c>
      <c r="U13" s="11">
        <f ca="1">Table10s5!U13*'F-gas GWPs'!$F13</f>
        <v>276.21502797419998</v>
      </c>
      <c r="V13" s="11">
        <f ca="1">Table10s5!V13*'F-gas GWPs'!$F13</f>
        <v>275.27242350524</v>
      </c>
      <c r="W13" s="11">
        <f ca="1">Table10s5!W13*'F-gas GWPs'!$F13</f>
        <v>307.758045521675</v>
      </c>
      <c r="X13" s="11">
        <f ca="1">Table10s5!X13*'F-gas GWPs'!$F13</f>
        <v>364.83787434398499</v>
      </c>
      <c r="Y13" s="11">
        <f ca="1">Table10s5!Y13*'F-gas GWPs'!$F13</f>
        <v>389.20995552771501</v>
      </c>
      <c r="Z13" s="11">
        <f ca="1">Table10s5!Z13*'F-gas GWPs'!$F13</f>
        <v>408.56765302048501</v>
      </c>
      <c r="AA13" s="11">
        <f ca="1">Table10s5!AA13*'F-gas GWPs'!$F13</f>
        <v>413.88858772821004</v>
      </c>
      <c r="AB13" s="11">
        <f ca="1">Table10s5!AB13*'F-gas GWPs'!$F13</f>
        <v>495.81523384407001</v>
      </c>
      <c r="AC13" s="11">
        <f ca="1">Table10s5!AC13*'F-gas GWPs'!$F13</f>
        <v>575.42815291020497</v>
      </c>
      <c r="AD13" s="11">
        <f ca="1">Table10s5!AD13*'F-gas GWPs'!$F13</f>
        <v>636.65246320403003</v>
      </c>
      <c r="AE13" s="11">
        <f ca="1">Table10s5!AE13*'F-gas GWPs'!$F13</f>
        <v>744.81645389746006</v>
      </c>
      <c r="AF13" s="11">
        <f ca="1">Table10s5!AF13*'F-gas GWPs'!$F13</f>
        <v>719.54587982045996</v>
      </c>
    </row>
    <row r="14" spans="1:32" x14ac:dyDescent="0.25">
      <c r="A14" s="112" t="s">
        <v>296</v>
      </c>
      <c r="B14" s="11" t="e">
        <f ca="1">Table10s5!B14*'F-gas GWPs'!$F14</f>
        <v>#VALUE!</v>
      </c>
      <c r="C14" s="11" t="e">
        <f ca="1">Table10s5!C14*'F-gas GWPs'!$F14</f>
        <v>#VALUE!</v>
      </c>
      <c r="D14" s="11" t="e">
        <f ca="1">Table10s5!D14*'F-gas GWPs'!$F14</f>
        <v>#VALUE!</v>
      </c>
      <c r="E14" s="11" t="e">
        <f ca="1">Table10s5!E14*'F-gas GWPs'!$F14</f>
        <v>#VALUE!</v>
      </c>
      <c r="F14" s="11" t="e">
        <f ca="1">Table10s5!F14*'F-gas GWPs'!$F14</f>
        <v>#VALUE!</v>
      </c>
      <c r="G14" s="11" t="e">
        <f ca="1">Table10s5!G14*'F-gas GWPs'!$F14</f>
        <v>#VALUE!</v>
      </c>
      <c r="H14" s="11" t="e">
        <f ca="1">Table10s5!H14*'F-gas GWPs'!$F14</f>
        <v>#VALUE!</v>
      </c>
      <c r="I14" s="11" t="e">
        <f ca="1">Table10s5!I14*'F-gas GWPs'!$F14</f>
        <v>#VALUE!</v>
      </c>
      <c r="J14" s="11" t="e">
        <f ca="1">Table10s5!J14*'F-gas GWPs'!$F14</f>
        <v>#VALUE!</v>
      </c>
      <c r="K14" s="11" t="e">
        <f ca="1">Table10s5!K14*'F-gas GWPs'!$F14</f>
        <v>#VALUE!</v>
      </c>
      <c r="L14" s="11" t="e">
        <f ca="1">Table10s5!L14*'F-gas GWPs'!$F14</f>
        <v>#VALUE!</v>
      </c>
      <c r="M14" s="11" t="e">
        <f ca="1">Table10s5!M14*'F-gas GWPs'!$F14</f>
        <v>#VALUE!</v>
      </c>
      <c r="N14" s="11" t="e">
        <f ca="1">Table10s5!N14*'F-gas GWPs'!$F14</f>
        <v>#VALUE!</v>
      </c>
      <c r="O14" s="11" t="e">
        <f ca="1">Table10s5!O14*'F-gas GWPs'!$F14</f>
        <v>#VALUE!</v>
      </c>
      <c r="P14" s="11" t="e">
        <f ca="1">Table10s5!P14*'F-gas GWPs'!$F14</f>
        <v>#VALUE!</v>
      </c>
      <c r="Q14" s="11" t="e">
        <f ca="1">Table10s5!Q14*'F-gas GWPs'!$F14</f>
        <v>#VALUE!</v>
      </c>
      <c r="R14" s="11" t="e">
        <f ca="1">Table10s5!R14*'F-gas GWPs'!$F14</f>
        <v>#VALUE!</v>
      </c>
      <c r="S14" s="11" t="e">
        <f ca="1">Table10s5!S14*'F-gas GWPs'!$F14</f>
        <v>#VALUE!</v>
      </c>
      <c r="T14" s="11" t="e">
        <f ca="1">Table10s5!T14*'F-gas GWPs'!$F14</f>
        <v>#VALUE!</v>
      </c>
      <c r="U14" s="11" t="e">
        <f ca="1">Table10s5!U14*'F-gas GWPs'!$F14</f>
        <v>#VALUE!</v>
      </c>
      <c r="V14" s="11" t="e">
        <f ca="1">Table10s5!V14*'F-gas GWPs'!$F14</f>
        <v>#VALUE!</v>
      </c>
      <c r="W14" s="11" t="e">
        <f ca="1">Table10s5!W14*'F-gas GWPs'!$F14</f>
        <v>#VALUE!</v>
      </c>
      <c r="X14" s="11" t="e">
        <f ca="1">Table10s5!X14*'F-gas GWPs'!$F14</f>
        <v>#VALUE!</v>
      </c>
      <c r="Y14" s="11" t="e">
        <f ca="1">Table10s5!Y14*'F-gas GWPs'!$F14</f>
        <v>#VALUE!</v>
      </c>
      <c r="Z14" s="11" t="e">
        <f ca="1">Table10s5!Z14*'F-gas GWPs'!$F14</f>
        <v>#VALUE!</v>
      </c>
      <c r="AA14" s="11" t="e">
        <f ca="1">Table10s5!AA14*'F-gas GWPs'!$F14</f>
        <v>#VALUE!</v>
      </c>
      <c r="AB14" s="11" t="e">
        <f ca="1">Table10s5!AB14*'F-gas GWPs'!$F14</f>
        <v>#VALUE!</v>
      </c>
      <c r="AC14" s="11" t="e">
        <f ca="1">Table10s5!AC14*'F-gas GWPs'!$F14</f>
        <v>#VALUE!</v>
      </c>
      <c r="AD14" s="11" t="e">
        <f ca="1">Table10s5!AD14*'F-gas GWPs'!$F14</f>
        <v>#VALUE!</v>
      </c>
      <c r="AE14" s="11" t="e">
        <f ca="1">Table10s5!AE14*'F-gas GWPs'!$F14</f>
        <v>#VALUE!</v>
      </c>
      <c r="AF14" s="11" t="e">
        <f ca="1">Table10s5!AF14*'F-gas GWPs'!$F14</f>
        <v>#VALUE!</v>
      </c>
    </row>
    <row r="15" spans="1:32" x14ac:dyDescent="0.25">
      <c r="A15" s="112" t="s">
        <v>297</v>
      </c>
      <c r="B15" s="11" t="e">
        <f ca="1">Table10s5!B15*'F-gas GWPs'!$F15</f>
        <v>#VALUE!</v>
      </c>
      <c r="C15" s="11" t="e">
        <f ca="1">Table10s5!C15*'F-gas GWPs'!$F15</f>
        <v>#VALUE!</v>
      </c>
      <c r="D15" s="11" t="e">
        <f ca="1">Table10s5!D15*'F-gas GWPs'!$F15</f>
        <v>#VALUE!</v>
      </c>
      <c r="E15" s="11">
        <f ca="1">Table10s5!E15*'F-gas GWPs'!$F15</f>
        <v>0.28600000000000003</v>
      </c>
      <c r="F15" s="11">
        <f ca="1">Table10s5!F15*'F-gas GWPs'!$F15</f>
        <v>0.35749999999999998</v>
      </c>
      <c r="G15" s="11">
        <f ca="1">Table10s5!G15*'F-gas GWPs'!$F15</f>
        <v>3.3391219364789002</v>
      </c>
      <c r="H15" s="11">
        <f ca="1">Table10s5!H15*'F-gas GWPs'!$F15</f>
        <v>18.020539588508601</v>
      </c>
      <c r="I15" s="11">
        <f ca="1">Table10s5!I15*'F-gas GWPs'!$F15</f>
        <v>41.335204536468702</v>
      </c>
      <c r="J15" s="11">
        <f ca="1">Table10s5!J15*'F-gas GWPs'!$F15</f>
        <v>61.797782975728794</v>
      </c>
      <c r="K15" s="11">
        <f ca="1">Table10s5!K15*'F-gas GWPs'!$F15</f>
        <v>80.365018585566006</v>
      </c>
      <c r="L15" s="11">
        <f ca="1">Table10s5!L15*'F-gas GWPs'!$F15</f>
        <v>116.5054912505198</v>
      </c>
      <c r="M15" s="11">
        <f ca="1">Table10s5!M15*'F-gas GWPs'!$F15</f>
        <v>155.58812992068059</v>
      </c>
      <c r="N15" s="11">
        <f ca="1">Table10s5!N15*'F-gas GWPs'!$F15</f>
        <v>190.09714283015171</v>
      </c>
      <c r="O15" s="11">
        <f ca="1">Table10s5!O15*'F-gas GWPs'!$F15</f>
        <v>244.97010981254243</v>
      </c>
      <c r="P15" s="11">
        <f ca="1">Table10s5!P15*'F-gas GWPs'!$F15</f>
        <v>281.9717216368195</v>
      </c>
      <c r="Q15" s="11">
        <f ca="1">Table10s5!Q15*'F-gas GWPs'!$F15</f>
        <v>299.65918622172393</v>
      </c>
      <c r="R15" s="11">
        <f ca="1">Table10s5!R15*'F-gas GWPs'!$F15</f>
        <v>337.90714604800007</v>
      </c>
      <c r="S15" s="11">
        <f ca="1">Table10s5!S15*'F-gas GWPs'!$F15</f>
        <v>364.69315480120378</v>
      </c>
      <c r="T15" s="11">
        <f ca="1">Table10s5!T15*'F-gas GWPs'!$F15</f>
        <v>384.16508196606537</v>
      </c>
      <c r="U15" s="11">
        <f ca="1">Table10s5!U15*'F-gas GWPs'!$F15</f>
        <v>419.3196472219326</v>
      </c>
      <c r="V15" s="11">
        <f ca="1">Table10s5!V15*'F-gas GWPs'!$F15</f>
        <v>402.12483527124476</v>
      </c>
      <c r="W15" s="11">
        <f ca="1">Table10s5!W15*'F-gas GWPs'!$F15</f>
        <v>403.34908410049115</v>
      </c>
      <c r="X15" s="11">
        <f ca="1">Table10s5!X15*'F-gas GWPs'!$F15</f>
        <v>453.87994569202999</v>
      </c>
      <c r="Y15" s="11">
        <f ca="1">Table10s5!Y15*'F-gas GWPs'!$F15</f>
        <v>463.85374892246392</v>
      </c>
      <c r="Z15" s="11">
        <f ca="1">Table10s5!Z15*'F-gas GWPs'!$F15</f>
        <v>471.5935337914658</v>
      </c>
      <c r="AA15" s="11">
        <f ca="1">Table10s5!AA15*'F-gas GWPs'!$F15</f>
        <v>484.16394227464122</v>
      </c>
      <c r="AB15" s="11">
        <f ca="1">Table10s5!AB15*'F-gas GWPs'!$F15</f>
        <v>505.51052666796113</v>
      </c>
      <c r="AC15" s="11">
        <f ca="1">Table10s5!AC15*'F-gas GWPs'!$F15</f>
        <v>522.44220640642027</v>
      </c>
      <c r="AD15" s="11">
        <f ca="1">Table10s5!AD15*'F-gas GWPs'!$F15</f>
        <v>549.45256470505831</v>
      </c>
      <c r="AE15" s="11">
        <f ca="1">Table10s5!AE15*'F-gas GWPs'!$F15</f>
        <v>571.87837611171415</v>
      </c>
      <c r="AF15" s="11">
        <f ca="1">Table10s5!AF15*'F-gas GWPs'!$F15</f>
        <v>553.74030754499597</v>
      </c>
    </row>
    <row r="16" spans="1:32" x14ac:dyDescent="0.25">
      <c r="A16" s="112" t="s">
        <v>298</v>
      </c>
      <c r="B16" s="11" t="e">
        <f ca="1">Table10s5!B16*'F-gas GWPs'!$F16</f>
        <v>#VALUE!</v>
      </c>
      <c r="C16" s="11" t="e">
        <f ca="1">Table10s5!C16*'F-gas GWPs'!$F16</f>
        <v>#VALUE!</v>
      </c>
      <c r="D16" s="11" t="e">
        <f ca="1">Table10s5!D16*'F-gas GWPs'!$F16</f>
        <v>#VALUE!</v>
      </c>
      <c r="E16" s="11" t="e">
        <f ca="1">Table10s5!E16*'F-gas GWPs'!$F16</f>
        <v>#VALUE!</v>
      </c>
      <c r="F16" s="11" t="e">
        <f ca="1">Table10s5!F16*'F-gas GWPs'!$F16</f>
        <v>#VALUE!</v>
      </c>
      <c r="G16" s="11" t="e">
        <f ca="1">Table10s5!G16*'F-gas GWPs'!$F16</f>
        <v>#VALUE!</v>
      </c>
      <c r="H16" s="11" t="e">
        <f ca="1">Table10s5!H16*'F-gas GWPs'!$F16</f>
        <v>#VALUE!</v>
      </c>
      <c r="I16" s="11" t="e">
        <f ca="1">Table10s5!I16*'F-gas GWPs'!$F16</f>
        <v>#VALUE!</v>
      </c>
      <c r="J16" s="11" t="e">
        <f ca="1">Table10s5!J16*'F-gas GWPs'!$F16</f>
        <v>#VALUE!</v>
      </c>
      <c r="K16" s="11" t="e">
        <f ca="1">Table10s5!K16*'F-gas GWPs'!$F16</f>
        <v>#VALUE!</v>
      </c>
      <c r="L16" s="11" t="e">
        <f ca="1">Table10s5!L16*'F-gas GWPs'!$F16</f>
        <v>#VALUE!</v>
      </c>
      <c r="M16" s="11" t="e">
        <f ca="1">Table10s5!M16*'F-gas GWPs'!$F16</f>
        <v>#VALUE!</v>
      </c>
      <c r="N16" s="11" t="e">
        <f ca="1">Table10s5!N16*'F-gas GWPs'!$F16</f>
        <v>#VALUE!</v>
      </c>
      <c r="O16" s="11" t="e">
        <f ca="1">Table10s5!O16*'F-gas GWPs'!$F16</f>
        <v>#VALUE!</v>
      </c>
      <c r="P16" s="11" t="e">
        <f ca="1">Table10s5!P16*'F-gas GWPs'!$F16</f>
        <v>#VALUE!</v>
      </c>
      <c r="Q16" s="11" t="e">
        <f ca="1">Table10s5!Q16*'F-gas GWPs'!$F16</f>
        <v>#VALUE!</v>
      </c>
      <c r="R16" s="11" t="e">
        <f ca="1">Table10s5!R16*'F-gas GWPs'!$F16</f>
        <v>#VALUE!</v>
      </c>
      <c r="S16" s="11" t="e">
        <f ca="1">Table10s5!S16*'F-gas GWPs'!$F16</f>
        <v>#VALUE!</v>
      </c>
      <c r="T16" s="11" t="e">
        <f ca="1">Table10s5!T16*'F-gas GWPs'!$F16</f>
        <v>#VALUE!</v>
      </c>
      <c r="U16" s="11" t="e">
        <f ca="1">Table10s5!U16*'F-gas GWPs'!$F16</f>
        <v>#VALUE!</v>
      </c>
      <c r="V16" s="11" t="e">
        <f ca="1">Table10s5!V16*'F-gas GWPs'!$F16</f>
        <v>#VALUE!</v>
      </c>
      <c r="W16" s="11" t="e">
        <f ca="1">Table10s5!W16*'F-gas GWPs'!$F16</f>
        <v>#VALUE!</v>
      </c>
      <c r="X16" s="11" t="e">
        <f ca="1">Table10s5!X16*'F-gas GWPs'!$F16</f>
        <v>#VALUE!</v>
      </c>
      <c r="Y16" s="11" t="e">
        <f ca="1">Table10s5!Y16*'F-gas GWPs'!$F16</f>
        <v>#VALUE!</v>
      </c>
      <c r="Z16" s="11" t="e">
        <f ca="1">Table10s5!Z16*'F-gas GWPs'!$F16</f>
        <v>#VALUE!</v>
      </c>
      <c r="AA16" s="11" t="e">
        <f ca="1">Table10s5!AA16*'F-gas GWPs'!$F16</f>
        <v>#VALUE!</v>
      </c>
      <c r="AB16" s="11" t="e">
        <f ca="1">Table10s5!AB16*'F-gas GWPs'!$F16</f>
        <v>#VALUE!</v>
      </c>
      <c r="AC16" s="11" t="e">
        <f ca="1">Table10s5!AC16*'F-gas GWPs'!$F16</f>
        <v>#VALUE!</v>
      </c>
      <c r="AD16" s="11" t="e">
        <f ca="1">Table10s5!AD16*'F-gas GWPs'!$F16</f>
        <v>#VALUE!</v>
      </c>
      <c r="AE16" s="11" t="e">
        <f ca="1">Table10s5!AE16*'F-gas GWPs'!$F16</f>
        <v>#VALUE!</v>
      </c>
      <c r="AF16" s="11" t="e">
        <f ca="1">Table10s5!AF16*'F-gas GWPs'!$F16</f>
        <v>#VALUE!</v>
      </c>
    </row>
    <row r="17" spans="1:32" x14ac:dyDescent="0.25">
      <c r="A17" s="112" t="s">
        <v>299</v>
      </c>
      <c r="B17" s="11" t="e">
        <f ca="1">Table10s5!B17*'F-gas GWPs'!$F17</f>
        <v>#VALUE!</v>
      </c>
      <c r="C17" s="11" t="e">
        <f ca="1">Table10s5!C17*'F-gas GWPs'!$F17</f>
        <v>#VALUE!</v>
      </c>
      <c r="D17" s="11" t="e">
        <f ca="1">Table10s5!D17*'F-gas GWPs'!$F17</f>
        <v>#VALUE!</v>
      </c>
      <c r="E17" s="11" t="e">
        <f ca="1">Table10s5!E17*'F-gas GWPs'!$F17</f>
        <v>#VALUE!</v>
      </c>
      <c r="F17" s="11" t="e">
        <f ca="1">Table10s5!F17*'F-gas GWPs'!$F17</f>
        <v>#VALUE!</v>
      </c>
      <c r="G17" s="11">
        <f ca="1">Table10s5!G17*'F-gas GWPs'!$F17</f>
        <v>0.7799256</v>
      </c>
      <c r="H17" s="11">
        <f ca="1">Table10s5!H17*'F-gas GWPs'!$F17</f>
        <v>5.0353656000000004</v>
      </c>
      <c r="I17" s="11">
        <f ca="1">Table10s5!I17*'F-gas GWPs'!$F17</f>
        <v>10.0903992</v>
      </c>
      <c r="J17" s="11">
        <f ca="1">Table10s5!J17*'F-gas GWPs'!$F17</f>
        <v>14.553604799999999</v>
      </c>
      <c r="K17" s="11">
        <f ca="1">Table10s5!K17*'F-gas GWPs'!$F17</f>
        <v>28.9023048</v>
      </c>
      <c r="L17" s="11">
        <f ca="1">Table10s5!L17*'F-gas GWPs'!$F17</f>
        <v>43.604134800000004</v>
      </c>
      <c r="M17" s="11">
        <f ca="1">Table10s5!M17*'F-gas GWPs'!$F17</f>
        <v>46.834067399999995</v>
      </c>
      <c r="N17" s="11">
        <f ca="1">Table10s5!N17*'F-gas GWPs'!$F17</f>
        <v>55.054397399999999</v>
      </c>
      <c r="O17" s="11">
        <f ca="1">Table10s5!O17*'F-gas GWPs'!$F17</f>
        <v>85.513138319999996</v>
      </c>
      <c r="P17" s="11">
        <f ca="1">Table10s5!P17*'F-gas GWPs'!$F17</f>
        <v>127.68061512</v>
      </c>
      <c r="Q17" s="11">
        <f ca="1">Table10s5!Q17*'F-gas GWPs'!$F17</f>
        <v>150.84150476759999</v>
      </c>
      <c r="R17" s="11">
        <f ca="1">Table10s5!R17*'F-gas GWPs'!$F17</f>
        <v>187.68887385777631</v>
      </c>
      <c r="S17" s="11">
        <f ca="1">Table10s5!S17*'F-gas GWPs'!$F17</f>
        <v>228.2827760405973</v>
      </c>
      <c r="T17" s="11">
        <f ca="1">Table10s5!T17*'F-gas GWPs'!$F17</f>
        <v>270.47215503729359</v>
      </c>
      <c r="U17" s="11">
        <f ca="1">Table10s5!U17*'F-gas GWPs'!$F17</f>
        <v>300.62494725563459</v>
      </c>
      <c r="V17" s="11">
        <f ca="1">Table10s5!V17*'F-gas GWPs'!$F17</f>
        <v>302.27834527593092</v>
      </c>
      <c r="W17" s="11">
        <f ca="1">Table10s5!W17*'F-gas GWPs'!$F17</f>
        <v>321.88733939987191</v>
      </c>
      <c r="X17" s="11">
        <f ca="1">Table10s5!X17*'F-gas GWPs'!$F17</f>
        <v>329.81969862187708</v>
      </c>
      <c r="Y17" s="11">
        <f ca="1">Table10s5!Y17*'F-gas GWPs'!$F17</f>
        <v>338.75156417662441</v>
      </c>
      <c r="Z17" s="11">
        <f ca="1">Table10s5!Z17*'F-gas GWPs'!$F17</f>
        <v>372.56666474999554</v>
      </c>
      <c r="AA17" s="11">
        <f ca="1">Table10s5!AA17*'F-gas GWPs'!$F17</f>
        <v>373.12471206599548</v>
      </c>
      <c r="AB17" s="11">
        <f ca="1">Table10s5!AB17*'F-gas GWPs'!$F17</f>
        <v>382.44451265937448</v>
      </c>
      <c r="AC17" s="11">
        <f ca="1">Table10s5!AC17*'F-gas GWPs'!$F17</f>
        <v>409.00908074819819</v>
      </c>
      <c r="AD17" s="11">
        <f ca="1">Table10s5!AD17*'F-gas GWPs'!$F17</f>
        <v>403.88330233425717</v>
      </c>
      <c r="AE17" s="11">
        <f ca="1">Table10s5!AE17*'F-gas GWPs'!$F17</f>
        <v>422.98463328096091</v>
      </c>
      <c r="AF17" s="11">
        <f ca="1">Table10s5!AF17*'F-gas GWPs'!$F17</f>
        <v>348.06827113641992</v>
      </c>
    </row>
    <row r="18" spans="1:32" x14ac:dyDescent="0.25">
      <c r="A18" s="112" t="s">
        <v>300</v>
      </c>
      <c r="B18" s="11" t="e">
        <f ca="1">Table10s5!B18*'F-gas GWPs'!$F18</f>
        <v>#VALUE!</v>
      </c>
      <c r="C18" s="11" t="e">
        <f ca="1">Table10s5!C18*'F-gas GWPs'!$F18</f>
        <v>#VALUE!</v>
      </c>
      <c r="D18" s="11" t="e">
        <f ca="1">Table10s5!D18*'F-gas GWPs'!$F18</f>
        <v>#VALUE!</v>
      </c>
      <c r="E18" s="11" t="e">
        <f ca="1">Table10s5!E18*'F-gas GWPs'!$F18</f>
        <v>#VALUE!</v>
      </c>
      <c r="F18" s="11" t="e">
        <f ca="1">Table10s5!F18*'F-gas GWPs'!$F18</f>
        <v>#VALUE!</v>
      </c>
      <c r="G18" s="11" t="e">
        <f ca="1">Table10s5!G18*'F-gas GWPs'!$F18</f>
        <v>#VALUE!</v>
      </c>
      <c r="H18" s="11" t="e">
        <f ca="1">Table10s5!H18*'F-gas GWPs'!$F18</f>
        <v>#VALUE!</v>
      </c>
      <c r="I18" s="11" t="e">
        <f ca="1">Table10s5!I18*'F-gas GWPs'!$F18</f>
        <v>#VALUE!</v>
      </c>
      <c r="J18" s="11" t="e">
        <f ca="1">Table10s5!J18*'F-gas GWPs'!$F18</f>
        <v>#VALUE!</v>
      </c>
      <c r="K18" s="11" t="e">
        <f ca="1">Table10s5!K18*'F-gas GWPs'!$F18</f>
        <v>#VALUE!</v>
      </c>
      <c r="L18" s="11" t="e">
        <f ca="1">Table10s5!L18*'F-gas GWPs'!$F18</f>
        <v>#VALUE!</v>
      </c>
      <c r="M18" s="11" t="e">
        <f ca="1">Table10s5!M18*'F-gas GWPs'!$F18</f>
        <v>#VALUE!</v>
      </c>
      <c r="N18" s="11" t="e">
        <f ca="1">Table10s5!N18*'F-gas GWPs'!$F18</f>
        <v>#VALUE!</v>
      </c>
      <c r="O18" s="11" t="e">
        <f ca="1">Table10s5!O18*'F-gas GWPs'!$F18</f>
        <v>#VALUE!</v>
      </c>
      <c r="P18" s="11" t="e">
        <f ca="1">Table10s5!P18*'F-gas GWPs'!$F18</f>
        <v>#VALUE!</v>
      </c>
      <c r="Q18" s="11" t="e">
        <f ca="1">Table10s5!Q18*'F-gas GWPs'!$F18</f>
        <v>#VALUE!</v>
      </c>
      <c r="R18" s="11" t="e">
        <f ca="1">Table10s5!R18*'F-gas GWPs'!$F18</f>
        <v>#VALUE!</v>
      </c>
      <c r="S18" s="11" t="e">
        <f ca="1">Table10s5!S18*'F-gas GWPs'!$F18</f>
        <v>#VALUE!</v>
      </c>
      <c r="T18" s="11" t="e">
        <f ca="1">Table10s5!T18*'F-gas GWPs'!$F18</f>
        <v>#VALUE!</v>
      </c>
      <c r="U18" s="11" t="e">
        <f ca="1">Table10s5!U18*'F-gas GWPs'!$F18</f>
        <v>#VALUE!</v>
      </c>
      <c r="V18" s="11" t="e">
        <f ca="1">Table10s5!V18*'F-gas GWPs'!$F18</f>
        <v>#VALUE!</v>
      </c>
      <c r="W18" s="11" t="e">
        <f ca="1">Table10s5!W18*'F-gas GWPs'!$F18</f>
        <v>#VALUE!</v>
      </c>
      <c r="X18" s="11" t="e">
        <f ca="1">Table10s5!X18*'F-gas GWPs'!$F18</f>
        <v>#VALUE!</v>
      </c>
      <c r="Y18" s="11" t="e">
        <f ca="1">Table10s5!Y18*'F-gas GWPs'!$F18</f>
        <v>#VALUE!</v>
      </c>
      <c r="Z18" s="11" t="e">
        <f ca="1">Table10s5!Z18*'F-gas GWPs'!$F18</f>
        <v>#VALUE!</v>
      </c>
      <c r="AA18" s="11" t="e">
        <f ca="1">Table10s5!AA18*'F-gas GWPs'!$F18</f>
        <v>#VALUE!</v>
      </c>
      <c r="AB18" s="11" t="e">
        <f ca="1">Table10s5!AB18*'F-gas GWPs'!$F18</f>
        <v>#VALUE!</v>
      </c>
      <c r="AC18" s="11" t="e">
        <f ca="1">Table10s5!AC18*'F-gas GWPs'!$F18</f>
        <v>#VALUE!</v>
      </c>
      <c r="AD18" s="11" t="e">
        <f ca="1">Table10s5!AD18*'F-gas GWPs'!$F18</f>
        <v>#VALUE!</v>
      </c>
      <c r="AE18" s="11" t="e">
        <f ca="1">Table10s5!AE18*'F-gas GWPs'!$F18</f>
        <v>#VALUE!</v>
      </c>
      <c r="AF18" s="11" t="e">
        <f ca="1">Table10s5!AF18*'F-gas GWPs'!$F18</f>
        <v>#VALUE!</v>
      </c>
    </row>
    <row r="19" spans="1:32" x14ac:dyDescent="0.25">
      <c r="A19" s="112" t="s">
        <v>301</v>
      </c>
      <c r="B19" s="11" t="e">
        <f ca="1">Table10s5!B19*'F-gas GWPs'!$F19</f>
        <v>#VALUE!</v>
      </c>
      <c r="C19" s="11" t="e">
        <f ca="1">Table10s5!C19*'F-gas GWPs'!$F19</f>
        <v>#VALUE!</v>
      </c>
      <c r="D19" s="11" t="e">
        <f ca="1">Table10s5!D19*'F-gas GWPs'!$F19</f>
        <v>#VALUE!</v>
      </c>
      <c r="E19" s="11" t="e">
        <f ca="1">Table10s5!E19*'F-gas GWPs'!$F19</f>
        <v>#VALUE!</v>
      </c>
      <c r="F19" s="11" t="e">
        <f ca="1">Table10s5!F19*'F-gas GWPs'!$F19</f>
        <v>#VALUE!</v>
      </c>
      <c r="G19" s="11">
        <f ca="1">Table10s5!G19*'F-gas GWPs'!$F19</f>
        <v>4.9600000000000005E-2</v>
      </c>
      <c r="H19" s="11">
        <f ca="1">Table10s5!H19*'F-gas GWPs'!$F19</f>
        <v>0.14879999999999999</v>
      </c>
      <c r="I19" s="11">
        <f ca="1">Table10s5!I19*'F-gas GWPs'!$F19</f>
        <v>4.9600000000000005E-2</v>
      </c>
      <c r="J19" s="11">
        <f ca="1">Table10s5!J19*'F-gas GWPs'!$F19</f>
        <v>2.9760000000000002E-2</v>
      </c>
      <c r="K19" s="11">
        <f ca="1">Table10s5!K19*'F-gas GWPs'!$F19</f>
        <v>4.9600000000000005E-2</v>
      </c>
      <c r="L19" s="11">
        <f ca="1">Table10s5!L19*'F-gas GWPs'!$F19</f>
        <v>0.20747679999999999</v>
      </c>
      <c r="M19" s="11" t="e">
        <f ca="1">Table10s5!M19*'F-gas GWPs'!$F19</f>
        <v>#VALUE!</v>
      </c>
      <c r="N19" s="11">
        <f ca="1">Table10s5!N19*'F-gas GWPs'!$F19</f>
        <v>0.11284</v>
      </c>
      <c r="O19" s="11" t="e">
        <f ca="1">Table10s5!O19*'F-gas GWPs'!$F19</f>
        <v>#VALUE!</v>
      </c>
      <c r="P19" s="11" t="e">
        <f ca="1">Table10s5!P19*'F-gas GWPs'!$F19</f>
        <v>#VALUE!</v>
      </c>
      <c r="Q19" s="11" t="e">
        <f ca="1">Table10s5!Q19*'F-gas GWPs'!$F19</f>
        <v>#VALUE!</v>
      </c>
      <c r="R19" s="11" t="e">
        <f ca="1">Table10s5!R19*'F-gas GWPs'!$F19</f>
        <v>#VALUE!</v>
      </c>
      <c r="S19" s="11" t="e">
        <f ca="1">Table10s5!S19*'F-gas GWPs'!$F19</f>
        <v>#VALUE!</v>
      </c>
      <c r="T19" s="11" t="e">
        <f ca="1">Table10s5!T19*'F-gas GWPs'!$F19</f>
        <v>#VALUE!</v>
      </c>
      <c r="U19" s="11" t="e">
        <f ca="1">Table10s5!U19*'F-gas GWPs'!$F19</f>
        <v>#VALUE!</v>
      </c>
      <c r="V19" s="11" t="e">
        <f ca="1">Table10s5!V19*'F-gas GWPs'!$F19</f>
        <v>#VALUE!</v>
      </c>
      <c r="W19" s="11" t="e">
        <f ca="1">Table10s5!W19*'F-gas GWPs'!$F19</f>
        <v>#VALUE!</v>
      </c>
      <c r="X19" s="11" t="e">
        <f ca="1">Table10s5!X19*'F-gas GWPs'!$F19</f>
        <v>#VALUE!</v>
      </c>
      <c r="Y19" s="11" t="e">
        <f ca="1">Table10s5!Y19*'F-gas GWPs'!$F19</f>
        <v>#VALUE!</v>
      </c>
      <c r="Z19" s="11" t="e">
        <f ca="1">Table10s5!Z19*'F-gas GWPs'!$F19</f>
        <v>#VALUE!</v>
      </c>
      <c r="AA19" s="11" t="e">
        <f ca="1">Table10s5!AA19*'F-gas GWPs'!$F19</f>
        <v>#VALUE!</v>
      </c>
      <c r="AB19" s="11">
        <f ca="1">Table10s5!AB19*'F-gas GWPs'!$F19</f>
        <v>3.1E-2</v>
      </c>
      <c r="AC19" s="11">
        <f ca="1">Table10s5!AC19*'F-gas GWPs'!$F19</f>
        <v>6.2E-2</v>
      </c>
      <c r="AD19" s="11">
        <f ca="1">Table10s5!AD19*'F-gas GWPs'!$F19</f>
        <v>6.2E-2</v>
      </c>
      <c r="AE19" s="11">
        <f ca="1">Table10s5!AE19*'F-gas GWPs'!$F19</f>
        <v>6.2E-2</v>
      </c>
      <c r="AF19" s="11">
        <f ca="1">Table10s5!AF19*'F-gas GWPs'!$F19</f>
        <v>6.2E-2</v>
      </c>
    </row>
    <row r="20" spans="1:32" x14ac:dyDescent="0.25">
      <c r="A20" s="112" t="s">
        <v>302</v>
      </c>
      <c r="B20" s="11" t="e">
        <f ca="1">Table10s5!B20*'F-gas GWPs'!$F20</f>
        <v>#VALUE!</v>
      </c>
      <c r="C20" s="11" t="e">
        <f ca="1">Table10s5!C20*'F-gas GWPs'!$F20</f>
        <v>#VALUE!</v>
      </c>
      <c r="D20" s="11" t="e">
        <f ca="1">Table10s5!D20*'F-gas GWPs'!$F20</f>
        <v>#VALUE!</v>
      </c>
      <c r="E20" s="11" t="e">
        <f ca="1">Table10s5!E20*'F-gas GWPs'!$F20</f>
        <v>#VALUE!</v>
      </c>
      <c r="F20" s="11" t="e">
        <f ca="1">Table10s5!F20*'F-gas GWPs'!$F20</f>
        <v>#VALUE!</v>
      </c>
      <c r="G20" s="11" t="e">
        <f ca="1">Table10s5!G20*'F-gas GWPs'!$F20</f>
        <v>#VALUE!</v>
      </c>
      <c r="H20" s="11" t="e">
        <f ca="1">Table10s5!H20*'F-gas GWPs'!$F20</f>
        <v>#VALUE!</v>
      </c>
      <c r="I20" s="11" t="e">
        <f ca="1">Table10s5!I20*'F-gas GWPs'!$F20</f>
        <v>#VALUE!</v>
      </c>
      <c r="J20" s="11" t="e">
        <f ca="1">Table10s5!J20*'F-gas GWPs'!$F20</f>
        <v>#VALUE!</v>
      </c>
      <c r="K20" s="11" t="e">
        <f ca="1">Table10s5!K20*'F-gas GWPs'!$F20</f>
        <v>#VALUE!</v>
      </c>
      <c r="L20" s="11" t="e">
        <f ca="1">Table10s5!L20*'F-gas GWPs'!$F20</f>
        <v>#VALUE!</v>
      </c>
      <c r="M20" s="11" t="e">
        <f ca="1">Table10s5!M20*'F-gas GWPs'!$F20</f>
        <v>#VALUE!</v>
      </c>
      <c r="N20" s="11" t="e">
        <f ca="1">Table10s5!N20*'F-gas GWPs'!$F20</f>
        <v>#VALUE!</v>
      </c>
      <c r="O20" s="11" t="e">
        <f ca="1">Table10s5!O20*'F-gas GWPs'!$F20</f>
        <v>#VALUE!</v>
      </c>
      <c r="P20" s="11" t="e">
        <f ca="1">Table10s5!P20*'F-gas GWPs'!$F20</f>
        <v>#VALUE!</v>
      </c>
      <c r="Q20" s="11" t="e">
        <f ca="1">Table10s5!Q20*'F-gas GWPs'!$F20</f>
        <v>#VALUE!</v>
      </c>
      <c r="R20" s="11" t="e">
        <f ca="1">Table10s5!R20*'F-gas GWPs'!$F20</f>
        <v>#VALUE!</v>
      </c>
      <c r="S20" s="11" t="e">
        <f ca="1">Table10s5!S20*'F-gas GWPs'!$F20</f>
        <v>#VALUE!</v>
      </c>
      <c r="T20" s="11" t="e">
        <f ca="1">Table10s5!T20*'F-gas GWPs'!$F20</f>
        <v>#VALUE!</v>
      </c>
      <c r="U20" s="11" t="e">
        <f ca="1">Table10s5!U20*'F-gas GWPs'!$F20</f>
        <v>#VALUE!</v>
      </c>
      <c r="V20" s="11" t="e">
        <f ca="1">Table10s5!V20*'F-gas GWPs'!$F20</f>
        <v>#VALUE!</v>
      </c>
      <c r="W20" s="11" t="e">
        <f ca="1">Table10s5!W20*'F-gas GWPs'!$F20</f>
        <v>#VALUE!</v>
      </c>
      <c r="X20" s="11" t="e">
        <f ca="1">Table10s5!X20*'F-gas GWPs'!$F20</f>
        <v>#VALUE!</v>
      </c>
      <c r="Y20" s="11" t="e">
        <f ca="1">Table10s5!Y20*'F-gas GWPs'!$F20</f>
        <v>#VALUE!</v>
      </c>
      <c r="Z20" s="11" t="e">
        <f ca="1">Table10s5!Z20*'F-gas GWPs'!$F20</f>
        <v>#VALUE!</v>
      </c>
      <c r="AA20" s="11" t="e">
        <f ca="1">Table10s5!AA20*'F-gas GWPs'!$F20</f>
        <v>#VALUE!</v>
      </c>
      <c r="AB20" s="11" t="e">
        <f ca="1">Table10s5!AB20*'F-gas GWPs'!$F20</f>
        <v>#VALUE!</v>
      </c>
      <c r="AC20" s="11" t="e">
        <f ca="1">Table10s5!AC20*'F-gas GWPs'!$F20</f>
        <v>#VALUE!</v>
      </c>
      <c r="AD20" s="11" t="e">
        <f ca="1">Table10s5!AD20*'F-gas GWPs'!$F20</f>
        <v>#VALUE!</v>
      </c>
      <c r="AE20" s="11" t="e">
        <f ca="1">Table10s5!AE20*'F-gas GWPs'!$F20</f>
        <v>#VALUE!</v>
      </c>
      <c r="AF20" s="11" t="e">
        <f ca="1">Table10s5!AF20*'F-gas GWPs'!$F20</f>
        <v>#VALUE!</v>
      </c>
    </row>
    <row r="21" spans="1:32" x14ac:dyDescent="0.25">
      <c r="A21" s="112" t="s">
        <v>303</v>
      </c>
      <c r="B21" s="11" t="e">
        <f ca="1">Table10s5!B21*'F-gas GWPs'!$F21</f>
        <v>#VALUE!</v>
      </c>
      <c r="C21" s="11" t="e">
        <f ca="1">Table10s5!C21*'F-gas GWPs'!$F21</f>
        <v>#VALUE!</v>
      </c>
      <c r="D21" s="11" t="e">
        <f ca="1">Table10s5!D21*'F-gas GWPs'!$F21</f>
        <v>#VALUE!</v>
      </c>
      <c r="E21" s="11" t="e">
        <f ca="1">Table10s5!E21*'F-gas GWPs'!$F21</f>
        <v>#VALUE!</v>
      </c>
      <c r="F21" s="11" t="e">
        <f ca="1">Table10s5!F21*'F-gas GWPs'!$F21</f>
        <v>#VALUE!</v>
      </c>
      <c r="G21" s="11">
        <f ca="1">Table10s5!G21*'F-gas GWPs'!$F21</f>
        <v>7.7280000000000001E-2</v>
      </c>
      <c r="H21" s="11">
        <f ca="1">Table10s5!H21*'F-gas GWPs'!$F21</f>
        <v>0.15456</v>
      </c>
      <c r="I21" s="11">
        <f ca="1">Table10s5!I21*'F-gas GWPs'!$F21</f>
        <v>0.21735000000000002</v>
      </c>
      <c r="J21" s="11">
        <f ca="1">Table10s5!J21*'F-gas GWPs'!$F21</f>
        <v>0.28035735000000001</v>
      </c>
      <c r="K21" s="11">
        <f ca="1">Table10s5!K21*'F-gas GWPs'!$F21</f>
        <v>0.34357878975</v>
      </c>
      <c r="L21" s="11">
        <f ca="1">Table10s5!L21*'F-gas GWPs'!$F21</f>
        <v>0.43599110791180001</v>
      </c>
      <c r="M21" s="11">
        <f ca="1">Table10s5!M21*'F-gas GWPs'!$F21</f>
        <v>0.48514114128619995</v>
      </c>
      <c r="N21" s="11">
        <f ca="1">Table10s5!N21*'F-gas GWPs'!$F21</f>
        <v>0.53582402416899999</v>
      </c>
      <c r="O21" s="11">
        <f ca="1">Table10s5!O21*'F-gas GWPs'!$F21</f>
        <v>0.63404666379599994</v>
      </c>
      <c r="P21" s="11">
        <f ca="1">Table10s5!P21*'F-gas GWPs'!$F21</f>
        <v>0.73079596386160006</v>
      </c>
      <c r="Q21" s="11">
        <f ca="1">Table10s5!Q21*'F-gas GWPs'!$F21</f>
        <v>0.8258525243849999</v>
      </c>
      <c r="R21" s="11">
        <f ca="1">Table10s5!R21*'F-gas GWPs'!$F21</f>
        <v>0.94078353651519997</v>
      </c>
      <c r="S21" s="11">
        <f ca="1">Table10s5!S21*'F-gas GWPs'!$F21</f>
        <v>1.0594001834752</v>
      </c>
      <c r="T21" s="11">
        <f ca="1">Table10s5!T21*'F-gas GWPs'!$F21</f>
        <v>1.1588012807308001</v>
      </c>
      <c r="U21" s="11">
        <f ca="1">Table10s5!U21*'F-gas GWPs'!$F21</f>
        <v>1.2853532615265999</v>
      </c>
      <c r="V21" s="11">
        <f ca="1">Table10s5!V21*'F-gas GWPs'!$F21</f>
        <v>1.404259262581</v>
      </c>
      <c r="W21" s="11">
        <f ca="1">Table10s5!W21*'F-gas GWPs'!$F21</f>
        <v>1.7678082736608001</v>
      </c>
      <c r="X21" s="11">
        <f ca="1">Table10s5!X21*'F-gas GWPs'!$F21</f>
        <v>6.0745068608546005</v>
      </c>
      <c r="Y21" s="11">
        <f ca="1">Table10s5!Y21*'F-gas GWPs'!$F21</f>
        <v>10.472937727261799</v>
      </c>
      <c r="Z21" s="11">
        <f ca="1">Table10s5!Z21*'F-gas GWPs'!$F21</f>
        <v>10.7042492775736</v>
      </c>
      <c r="AA21" s="11">
        <f ca="1">Table10s5!AA21*'F-gas GWPs'!$F21</f>
        <v>10.8154239762282</v>
      </c>
      <c r="AB21" s="11">
        <f ca="1">Table10s5!AB21*'F-gas GWPs'!$F21</f>
        <v>11.214480838020599</v>
      </c>
      <c r="AC21" s="11">
        <f ca="1">Table10s5!AC21*'F-gas GWPs'!$F21</f>
        <v>11.133746086689799</v>
      </c>
      <c r="AD21" s="11">
        <f ca="1">Table10s5!AD21*'F-gas GWPs'!$F21</f>
        <v>10.8016114158638</v>
      </c>
      <c r="AE21" s="11">
        <f ca="1">Table10s5!AE21*'F-gas GWPs'!$F21</f>
        <v>10.2723413619204</v>
      </c>
      <c r="AF21" s="11">
        <f ca="1">Table10s5!AF21*'F-gas GWPs'!$F21</f>
        <v>9.7458044309037994</v>
      </c>
    </row>
    <row r="22" spans="1:32" x14ac:dyDescent="0.25">
      <c r="A22" s="112" t="s">
        <v>304</v>
      </c>
      <c r="B22" s="11" t="e">
        <f ca="1">Table10s5!B22*'F-gas GWPs'!$F22</f>
        <v>#VALUE!</v>
      </c>
      <c r="C22" s="11" t="e">
        <f ca="1">Table10s5!C22*'F-gas GWPs'!$F22</f>
        <v>#VALUE!</v>
      </c>
      <c r="D22" s="11" t="e">
        <f ca="1">Table10s5!D22*'F-gas GWPs'!$F22</f>
        <v>#VALUE!</v>
      </c>
      <c r="E22" s="11" t="e">
        <f ca="1">Table10s5!E22*'F-gas GWPs'!$F22</f>
        <v>#VALUE!</v>
      </c>
      <c r="F22" s="11" t="e">
        <f ca="1">Table10s5!F22*'F-gas GWPs'!$F22</f>
        <v>#VALUE!</v>
      </c>
      <c r="G22" s="11" t="e">
        <f ca="1">Table10s5!G22*'F-gas GWPs'!$F22</f>
        <v>#VALUE!</v>
      </c>
      <c r="H22" s="11" t="e">
        <f ca="1">Table10s5!H22*'F-gas GWPs'!$F22</f>
        <v>#VALUE!</v>
      </c>
      <c r="I22" s="11" t="e">
        <f ca="1">Table10s5!I22*'F-gas GWPs'!$F22</f>
        <v>#VALUE!</v>
      </c>
      <c r="J22" s="11" t="e">
        <f ca="1">Table10s5!J22*'F-gas GWPs'!$F22</f>
        <v>#VALUE!</v>
      </c>
      <c r="K22" s="11" t="e">
        <f ca="1">Table10s5!K22*'F-gas GWPs'!$F22</f>
        <v>#VALUE!</v>
      </c>
      <c r="L22" s="11" t="e">
        <f ca="1">Table10s5!L22*'F-gas GWPs'!$F22</f>
        <v>#VALUE!</v>
      </c>
      <c r="M22" s="11" t="e">
        <f ca="1">Table10s5!M22*'F-gas GWPs'!$F22</f>
        <v>#VALUE!</v>
      </c>
      <c r="N22" s="11" t="e">
        <f ca="1">Table10s5!N22*'F-gas GWPs'!$F22</f>
        <v>#VALUE!</v>
      </c>
      <c r="O22" s="11" t="e">
        <f ca="1">Table10s5!O22*'F-gas GWPs'!$F22</f>
        <v>#VALUE!</v>
      </c>
      <c r="P22" s="11" t="e">
        <f ca="1">Table10s5!P22*'F-gas GWPs'!$F22</f>
        <v>#VALUE!</v>
      </c>
      <c r="Q22" s="11" t="e">
        <f ca="1">Table10s5!Q22*'F-gas GWPs'!$F22</f>
        <v>#VALUE!</v>
      </c>
      <c r="R22" s="11" t="e">
        <f ca="1">Table10s5!R22*'F-gas GWPs'!$F22</f>
        <v>#VALUE!</v>
      </c>
      <c r="S22" s="11" t="e">
        <f ca="1">Table10s5!S22*'F-gas GWPs'!$F22</f>
        <v>#VALUE!</v>
      </c>
      <c r="T22" s="11" t="e">
        <f ca="1">Table10s5!T22*'F-gas GWPs'!$F22</f>
        <v>#VALUE!</v>
      </c>
      <c r="U22" s="11" t="e">
        <f ca="1">Table10s5!U22*'F-gas GWPs'!$F22</f>
        <v>#VALUE!</v>
      </c>
      <c r="V22" s="11" t="e">
        <f ca="1">Table10s5!V22*'F-gas GWPs'!$F22</f>
        <v>#VALUE!</v>
      </c>
      <c r="W22" s="11" t="e">
        <f ca="1">Table10s5!W22*'F-gas GWPs'!$F22</f>
        <v>#VALUE!</v>
      </c>
      <c r="X22" s="11" t="e">
        <f ca="1">Table10s5!X22*'F-gas GWPs'!$F22</f>
        <v>#VALUE!</v>
      </c>
      <c r="Y22" s="11" t="e">
        <f ca="1">Table10s5!Y22*'F-gas GWPs'!$F22</f>
        <v>#VALUE!</v>
      </c>
      <c r="Z22" s="11" t="e">
        <f ca="1">Table10s5!Z22*'F-gas GWPs'!$F22</f>
        <v>#VALUE!</v>
      </c>
      <c r="AA22" s="11" t="e">
        <f ca="1">Table10s5!AA22*'F-gas GWPs'!$F22</f>
        <v>#VALUE!</v>
      </c>
      <c r="AB22" s="11" t="e">
        <f ca="1">Table10s5!AB22*'F-gas GWPs'!$F22</f>
        <v>#VALUE!</v>
      </c>
      <c r="AC22" s="11" t="e">
        <f ca="1">Table10s5!AC22*'F-gas GWPs'!$F22</f>
        <v>#VALUE!</v>
      </c>
      <c r="AD22" s="11" t="e">
        <f ca="1">Table10s5!AD22*'F-gas GWPs'!$F22</f>
        <v>#VALUE!</v>
      </c>
      <c r="AE22" s="11" t="e">
        <f ca="1">Table10s5!AE22*'F-gas GWPs'!$F22</f>
        <v>#VALUE!</v>
      </c>
      <c r="AF22" s="11" t="e">
        <f ca="1">Table10s5!AF22*'F-gas GWPs'!$F22</f>
        <v>#VALUE!</v>
      </c>
    </row>
    <row r="23" spans="1:32" x14ac:dyDescent="0.25">
      <c r="A23" s="112" t="s">
        <v>305</v>
      </c>
      <c r="B23" s="11" t="e">
        <f ca="1">Table10s5!B23*'F-gas GWPs'!$F23</f>
        <v>#VALUE!</v>
      </c>
      <c r="C23" s="11" t="e">
        <f ca="1">Table10s5!C23*'F-gas GWPs'!$F23</f>
        <v>#VALUE!</v>
      </c>
      <c r="D23" s="11" t="e">
        <f ca="1">Table10s5!D23*'F-gas GWPs'!$F23</f>
        <v>#VALUE!</v>
      </c>
      <c r="E23" s="11" t="e">
        <f ca="1">Table10s5!E23*'F-gas GWPs'!$F23</f>
        <v>#VALUE!</v>
      </c>
      <c r="F23" s="11" t="e">
        <f ca="1">Table10s5!F23*'F-gas GWPs'!$F23</f>
        <v>#VALUE!</v>
      </c>
      <c r="G23" s="11" t="e">
        <f ca="1">Table10s5!G23*'F-gas GWPs'!$F23</f>
        <v>#VALUE!</v>
      </c>
      <c r="H23" s="11" t="e">
        <f ca="1">Table10s5!H23*'F-gas GWPs'!$F23</f>
        <v>#VALUE!</v>
      </c>
      <c r="I23" s="11" t="e">
        <f ca="1">Table10s5!I23*'F-gas GWPs'!$F23</f>
        <v>#VALUE!</v>
      </c>
      <c r="J23" s="11" t="e">
        <f ca="1">Table10s5!J23*'F-gas GWPs'!$F23</f>
        <v>#VALUE!</v>
      </c>
      <c r="K23" s="11" t="e">
        <f ca="1">Table10s5!K23*'F-gas GWPs'!$F23</f>
        <v>#VALUE!</v>
      </c>
      <c r="L23" s="11" t="e">
        <f ca="1">Table10s5!L23*'F-gas GWPs'!$F23</f>
        <v>#VALUE!</v>
      </c>
      <c r="M23" s="11" t="e">
        <f ca="1">Table10s5!M23*'F-gas GWPs'!$F23</f>
        <v>#VALUE!</v>
      </c>
      <c r="N23" s="11" t="e">
        <f ca="1">Table10s5!N23*'F-gas GWPs'!$F23</f>
        <v>#VALUE!</v>
      </c>
      <c r="O23" s="11" t="e">
        <f ca="1">Table10s5!O23*'F-gas GWPs'!$F23</f>
        <v>#VALUE!</v>
      </c>
      <c r="P23" s="11" t="e">
        <f ca="1">Table10s5!P23*'F-gas GWPs'!$F23</f>
        <v>#VALUE!</v>
      </c>
      <c r="Q23" s="11" t="e">
        <f ca="1">Table10s5!Q23*'F-gas GWPs'!$F23</f>
        <v>#VALUE!</v>
      </c>
      <c r="R23" s="11" t="e">
        <f ca="1">Table10s5!R23*'F-gas GWPs'!$F23</f>
        <v>#VALUE!</v>
      </c>
      <c r="S23" s="11" t="e">
        <f ca="1">Table10s5!S23*'F-gas GWPs'!$F23</f>
        <v>#VALUE!</v>
      </c>
      <c r="T23" s="11" t="e">
        <f ca="1">Table10s5!T23*'F-gas GWPs'!$F23</f>
        <v>#VALUE!</v>
      </c>
      <c r="U23" s="11" t="e">
        <f ca="1">Table10s5!U23*'F-gas GWPs'!$F23</f>
        <v>#VALUE!</v>
      </c>
      <c r="V23" s="11" t="e">
        <f ca="1">Table10s5!V23*'F-gas GWPs'!$F23</f>
        <v>#VALUE!</v>
      </c>
      <c r="W23" s="11" t="e">
        <f ca="1">Table10s5!W23*'F-gas GWPs'!$F23</f>
        <v>#VALUE!</v>
      </c>
      <c r="X23" s="11" t="e">
        <f ca="1">Table10s5!X23*'F-gas GWPs'!$F23</f>
        <v>#VALUE!</v>
      </c>
      <c r="Y23" s="11" t="e">
        <f ca="1">Table10s5!Y23*'F-gas GWPs'!$F23</f>
        <v>#VALUE!</v>
      </c>
      <c r="Z23" s="11" t="e">
        <f ca="1">Table10s5!Z23*'F-gas GWPs'!$F23</f>
        <v>#VALUE!</v>
      </c>
      <c r="AA23" s="11" t="e">
        <f ca="1">Table10s5!AA23*'F-gas GWPs'!$F23</f>
        <v>#VALUE!</v>
      </c>
      <c r="AB23" s="11" t="e">
        <f ca="1">Table10s5!AB23*'F-gas GWPs'!$F23</f>
        <v>#VALUE!</v>
      </c>
      <c r="AC23" s="11" t="e">
        <f ca="1">Table10s5!AC23*'F-gas GWPs'!$F23</f>
        <v>#VALUE!</v>
      </c>
      <c r="AD23" s="11" t="e">
        <f ca="1">Table10s5!AD23*'F-gas GWPs'!$F23</f>
        <v>#VALUE!</v>
      </c>
      <c r="AE23" s="11" t="e">
        <f ca="1">Table10s5!AE23*'F-gas GWPs'!$F23</f>
        <v>#VALUE!</v>
      </c>
      <c r="AF23" s="11" t="e">
        <f ca="1">Table10s5!AF23*'F-gas GWPs'!$F23</f>
        <v>#VALUE!</v>
      </c>
    </row>
    <row r="24" spans="1:32" x14ac:dyDescent="0.25">
      <c r="A24" s="112" t="s">
        <v>306</v>
      </c>
      <c r="B24" s="11" t="e">
        <f ca="1">Table10s5!B24*'F-gas GWPs'!$F24</f>
        <v>#VALUE!</v>
      </c>
      <c r="C24" s="11" t="e">
        <f ca="1">Table10s5!C24*'F-gas GWPs'!$F24</f>
        <v>#VALUE!</v>
      </c>
      <c r="D24" s="11" t="e">
        <f ca="1">Table10s5!D24*'F-gas GWPs'!$F24</f>
        <v>#VALUE!</v>
      </c>
      <c r="E24" s="11" t="e">
        <f ca="1">Table10s5!E24*'F-gas GWPs'!$F24</f>
        <v>#VALUE!</v>
      </c>
      <c r="F24" s="11" t="e">
        <f ca="1">Table10s5!F24*'F-gas GWPs'!$F24</f>
        <v>#VALUE!</v>
      </c>
      <c r="G24" s="11" t="e">
        <f ca="1">Table10s5!G24*'F-gas GWPs'!$F24</f>
        <v>#VALUE!</v>
      </c>
      <c r="H24" s="11" t="e">
        <f ca="1">Table10s5!H24*'F-gas GWPs'!$F24</f>
        <v>#VALUE!</v>
      </c>
      <c r="I24" s="11" t="e">
        <f ca="1">Table10s5!I24*'F-gas GWPs'!$F24</f>
        <v>#VALUE!</v>
      </c>
      <c r="J24" s="11" t="e">
        <f ca="1">Table10s5!J24*'F-gas GWPs'!$F24</f>
        <v>#VALUE!</v>
      </c>
      <c r="K24" s="11" t="e">
        <f ca="1">Table10s5!K24*'F-gas GWPs'!$F24</f>
        <v>#VALUE!</v>
      </c>
      <c r="L24" s="11" t="e">
        <f ca="1">Table10s5!L24*'F-gas GWPs'!$F24</f>
        <v>#VALUE!</v>
      </c>
      <c r="M24" s="11" t="e">
        <f ca="1">Table10s5!M24*'F-gas GWPs'!$F24</f>
        <v>#VALUE!</v>
      </c>
      <c r="N24" s="11" t="e">
        <f ca="1">Table10s5!N24*'F-gas GWPs'!$F24</f>
        <v>#VALUE!</v>
      </c>
      <c r="O24" s="11" t="e">
        <f ca="1">Table10s5!O24*'F-gas GWPs'!$F24</f>
        <v>#VALUE!</v>
      </c>
      <c r="P24" s="11" t="e">
        <f ca="1">Table10s5!P24*'F-gas GWPs'!$F24</f>
        <v>#VALUE!</v>
      </c>
      <c r="Q24" s="11" t="e">
        <f ca="1">Table10s5!Q24*'F-gas GWPs'!$F24</f>
        <v>#VALUE!</v>
      </c>
      <c r="R24" s="11" t="e">
        <f ca="1">Table10s5!R24*'F-gas GWPs'!$F24</f>
        <v>#VALUE!</v>
      </c>
      <c r="S24" s="11" t="e">
        <f ca="1">Table10s5!S24*'F-gas GWPs'!$F24</f>
        <v>#VALUE!</v>
      </c>
      <c r="T24" s="11" t="e">
        <f ca="1">Table10s5!T24*'F-gas GWPs'!$F24</f>
        <v>#VALUE!</v>
      </c>
      <c r="U24" s="11" t="e">
        <f ca="1">Table10s5!U24*'F-gas GWPs'!$F24</f>
        <v>#VALUE!</v>
      </c>
      <c r="V24" s="11" t="e">
        <f ca="1">Table10s5!V24*'F-gas GWPs'!$F24</f>
        <v>#VALUE!</v>
      </c>
      <c r="W24" s="11" t="e">
        <f ca="1">Table10s5!W24*'F-gas GWPs'!$F24</f>
        <v>#VALUE!</v>
      </c>
      <c r="X24" s="11" t="e">
        <f ca="1">Table10s5!X24*'F-gas GWPs'!$F24</f>
        <v>#VALUE!</v>
      </c>
      <c r="Y24" s="11" t="e">
        <f ca="1">Table10s5!Y24*'F-gas GWPs'!$F24</f>
        <v>#VALUE!</v>
      </c>
      <c r="Z24" s="11" t="e">
        <f ca="1">Table10s5!Z24*'F-gas GWPs'!$F24</f>
        <v>#VALUE!</v>
      </c>
      <c r="AA24" s="11" t="e">
        <f ca="1">Table10s5!AA24*'F-gas GWPs'!$F24</f>
        <v>#VALUE!</v>
      </c>
      <c r="AB24" s="11" t="e">
        <f ca="1">Table10s5!AB24*'F-gas GWPs'!$F24</f>
        <v>#VALUE!</v>
      </c>
      <c r="AC24" s="11" t="e">
        <f ca="1">Table10s5!AC24*'F-gas GWPs'!$F24</f>
        <v>#VALUE!</v>
      </c>
      <c r="AD24" s="11" t="e">
        <f ca="1">Table10s5!AD24*'F-gas GWPs'!$F24</f>
        <v>#VALUE!</v>
      </c>
      <c r="AE24" s="11" t="e">
        <f ca="1">Table10s5!AE24*'F-gas GWPs'!$F24</f>
        <v>#VALUE!</v>
      </c>
      <c r="AF24" s="11" t="e">
        <f ca="1">Table10s5!AF24*'F-gas GWPs'!$F24</f>
        <v>#VALUE!</v>
      </c>
    </row>
    <row r="25" spans="1:32" x14ac:dyDescent="0.25">
      <c r="A25" s="112" t="s">
        <v>307</v>
      </c>
      <c r="B25" s="11" t="e">
        <f ca="1">Table10s5!B25*'F-gas GWPs'!$F25</f>
        <v>#VALUE!</v>
      </c>
      <c r="C25" s="11" t="e">
        <f ca="1">Table10s5!C25*'F-gas GWPs'!$F25</f>
        <v>#VALUE!</v>
      </c>
      <c r="D25" s="11" t="e">
        <f ca="1">Table10s5!D25*'F-gas GWPs'!$F25</f>
        <v>#VALUE!</v>
      </c>
      <c r="E25" s="11" t="e">
        <f ca="1">Table10s5!E25*'F-gas GWPs'!$F25</f>
        <v>#VALUE!</v>
      </c>
      <c r="F25" s="11" t="e">
        <f ca="1">Table10s5!F25*'F-gas GWPs'!$F25</f>
        <v>#VALUE!</v>
      </c>
      <c r="G25" s="11" t="e">
        <f ca="1">Table10s5!G25*'F-gas GWPs'!$F25</f>
        <v>#VALUE!</v>
      </c>
      <c r="H25" s="11" t="e">
        <f ca="1">Table10s5!H25*'F-gas GWPs'!$F25</f>
        <v>#VALUE!</v>
      </c>
      <c r="I25" s="11" t="e">
        <f ca="1">Table10s5!I25*'F-gas GWPs'!$F25</f>
        <v>#VALUE!</v>
      </c>
      <c r="J25" s="11" t="e">
        <f ca="1">Table10s5!J25*'F-gas GWPs'!$F25</f>
        <v>#VALUE!</v>
      </c>
      <c r="K25" s="11" t="e">
        <f ca="1">Table10s5!K25*'F-gas GWPs'!$F25</f>
        <v>#VALUE!</v>
      </c>
      <c r="L25" s="11" t="e">
        <f ca="1">Table10s5!L25*'F-gas GWPs'!$F25</f>
        <v>#VALUE!</v>
      </c>
      <c r="M25" s="11" t="e">
        <f ca="1">Table10s5!M25*'F-gas GWPs'!$F25</f>
        <v>#VALUE!</v>
      </c>
      <c r="N25" s="11" t="e">
        <f ca="1">Table10s5!N25*'F-gas GWPs'!$F25</f>
        <v>#VALUE!</v>
      </c>
      <c r="O25" s="11" t="e">
        <f ca="1">Table10s5!O25*'F-gas GWPs'!$F25</f>
        <v>#VALUE!</v>
      </c>
      <c r="P25" s="11" t="e">
        <f ca="1">Table10s5!P25*'F-gas GWPs'!$F25</f>
        <v>#VALUE!</v>
      </c>
      <c r="Q25" s="11" t="e">
        <f ca="1">Table10s5!Q25*'F-gas GWPs'!$F25</f>
        <v>#VALUE!</v>
      </c>
      <c r="R25" s="11" t="e">
        <f ca="1">Table10s5!R25*'F-gas GWPs'!$F25</f>
        <v>#VALUE!</v>
      </c>
      <c r="S25" s="11" t="e">
        <f ca="1">Table10s5!S25*'F-gas GWPs'!$F25</f>
        <v>#VALUE!</v>
      </c>
      <c r="T25" s="11" t="e">
        <f ca="1">Table10s5!T25*'F-gas GWPs'!$F25</f>
        <v>#VALUE!</v>
      </c>
      <c r="U25" s="11" t="e">
        <f ca="1">Table10s5!U25*'F-gas GWPs'!$F25</f>
        <v>#VALUE!</v>
      </c>
      <c r="V25" s="11" t="e">
        <f ca="1">Table10s5!V25*'F-gas GWPs'!$F25</f>
        <v>#VALUE!</v>
      </c>
      <c r="W25" s="11" t="e">
        <f ca="1">Table10s5!W25*'F-gas GWPs'!$F25</f>
        <v>#VALUE!</v>
      </c>
      <c r="X25" s="11" t="e">
        <f ca="1">Table10s5!X25*'F-gas GWPs'!$F25</f>
        <v>#VALUE!</v>
      </c>
      <c r="Y25" s="11" t="e">
        <f ca="1">Table10s5!Y25*'F-gas GWPs'!$F25</f>
        <v>#VALUE!</v>
      </c>
      <c r="Z25" s="11" t="e">
        <f ca="1">Table10s5!Z25*'F-gas GWPs'!$F25</f>
        <v>#VALUE!</v>
      </c>
      <c r="AA25" s="11" t="e">
        <f ca="1">Table10s5!AA25*'F-gas GWPs'!$F25</f>
        <v>#VALUE!</v>
      </c>
      <c r="AB25" s="11" t="e">
        <f ca="1">Table10s5!AB25*'F-gas GWPs'!$F25</f>
        <v>#VALUE!</v>
      </c>
      <c r="AC25" s="11" t="e">
        <f ca="1">Table10s5!AC25*'F-gas GWPs'!$F25</f>
        <v>#VALUE!</v>
      </c>
      <c r="AD25" s="11" t="e">
        <f ca="1">Table10s5!AD25*'F-gas GWPs'!$F25</f>
        <v>#VALUE!</v>
      </c>
      <c r="AE25" s="11" t="e">
        <f ca="1">Table10s5!AE25*'F-gas GWPs'!$F25</f>
        <v>#VALUE!</v>
      </c>
      <c r="AF25" s="11" t="e">
        <f ca="1">Table10s5!AF25*'F-gas GWPs'!$F25</f>
        <v>#VALUE!</v>
      </c>
    </row>
    <row r="26" spans="1:32" x14ac:dyDescent="0.25">
      <c r="A26" s="112" t="s">
        <v>308</v>
      </c>
      <c r="B26" s="11" t="e">
        <f ca="1">Table10s5!B26*'F-gas GWPs'!$F26</f>
        <v>#VALUE!</v>
      </c>
      <c r="C26" s="11" t="e">
        <f ca="1">Table10s5!C26*'F-gas GWPs'!$F26</f>
        <v>#VALUE!</v>
      </c>
      <c r="D26" s="11" t="e">
        <f ca="1">Table10s5!D26*'F-gas GWPs'!$F26</f>
        <v>#VALUE!</v>
      </c>
      <c r="E26" s="11" t="e">
        <f ca="1">Table10s5!E26*'F-gas GWPs'!$F26</f>
        <v>#VALUE!</v>
      </c>
      <c r="F26" s="11" t="e">
        <f ca="1">Table10s5!F26*'F-gas GWPs'!$F26</f>
        <v>#VALUE!</v>
      </c>
      <c r="G26" s="11" t="e">
        <f ca="1">Table10s5!G26*'F-gas GWPs'!$F26</f>
        <v>#VALUE!</v>
      </c>
      <c r="H26" s="11" t="e">
        <f ca="1">Table10s5!H26*'F-gas GWPs'!$F26</f>
        <v>#VALUE!</v>
      </c>
      <c r="I26" s="11" t="e">
        <f ca="1">Table10s5!I26*'F-gas GWPs'!$F26</f>
        <v>#VALUE!</v>
      </c>
      <c r="J26" s="11" t="e">
        <f ca="1">Table10s5!J26*'F-gas GWPs'!$F26</f>
        <v>#VALUE!</v>
      </c>
      <c r="K26" s="11" t="e">
        <f ca="1">Table10s5!K26*'F-gas GWPs'!$F26</f>
        <v>#VALUE!</v>
      </c>
      <c r="L26" s="11" t="e">
        <f ca="1">Table10s5!L26*'F-gas GWPs'!$F26</f>
        <v>#VALUE!</v>
      </c>
      <c r="M26" s="11" t="e">
        <f ca="1">Table10s5!M26*'F-gas GWPs'!$F26</f>
        <v>#VALUE!</v>
      </c>
      <c r="N26" s="11" t="e">
        <f ca="1">Table10s5!N26*'F-gas GWPs'!$F26</f>
        <v>#VALUE!</v>
      </c>
      <c r="O26" s="11" t="e">
        <f ca="1">Table10s5!O26*'F-gas GWPs'!$F26</f>
        <v>#VALUE!</v>
      </c>
      <c r="P26" s="11" t="e">
        <f ca="1">Table10s5!P26*'F-gas GWPs'!$F26</f>
        <v>#VALUE!</v>
      </c>
      <c r="Q26" s="11">
        <f ca="1">Table10s5!Q26*'F-gas GWPs'!$F26</f>
        <v>8.2487189500000002E-2</v>
      </c>
      <c r="R26" s="11">
        <f ca="1">Table10s5!R26*'F-gas GWPs'!$F26</f>
        <v>0.189099554</v>
      </c>
      <c r="S26" s="11">
        <f ca="1">Table10s5!S26*'F-gas GWPs'!$F26</f>
        <v>0.30709547850000002</v>
      </c>
      <c r="T26" s="11">
        <f ca="1">Table10s5!T26*'F-gas GWPs'!$F26</f>
        <v>0.38457182099999998</v>
      </c>
      <c r="U26" s="11">
        <f ca="1">Table10s5!U26*'F-gas GWPs'!$F26</f>
        <v>0.4709940225</v>
      </c>
      <c r="V26" s="11">
        <f ca="1">Table10s5!V26*'F-gas GWPs'!$F26</f>
        <v>0.40819996949999998</v>
      </c>
      <c r="W26" s="11">
        <f ca="1">Table10s5!W26*'F-gas GWPs'!$F26</f>
        <v>0.59234002200000002</v>
      </c>
      <c r="X26" s="11">
        <f ca="1">Table10s5!X26*'F-gas GWPs'!$F26</f>
        <v>0.74620394550000002</v>
      </c>
      <c r="Y26" s="11">
        <f ca="1">Table10s5!Y26*'F-gas GWPs'!$F26</f>
        <v>0.886094889</v>
      </c>
      <c r="Z26" s="11">
        <f ca="1">Table10s5!Z26*'F-gas GWPs'!$F26</f>
        <v>1.0228675075</v>
      </c>
      <c r="AA26" s="11">
        <f ca="1">Table10s5!AA26*'F-gas GWPs'!$F26</f>
        <v>1.4117895335000001</v>
      </c>
      <c r="AB26" s="11">
        <f ca="1">Table10s5!AB26*'F-gas GWPs'!$F26</f>
        <v>1.6099876954999999</v>
      </c>
      <c r="AC26" s="11">
        <f ca="1">Table10s5!AC26*'F-gas GWPs'!$F26</f>
        <v>2.0668574309999999</v>
      </c>
      <c r="AD26" s="11">
        <f ca="1">Table10s5!AD26*'F-gas GWPs'!$F26</f>
        <v>2.3714547989999999</v>
      </c>
      <c r="AE26" s="11">
        <f ca="1">Table10s5!AE26*'F-gas GWPs'!$F26</f>
        <v>2.6411627194999996</v>
      </c>
      <c r="AF26" s="11">
        <f ca="1">Table10s5!AF26*'F-gas GWPs'!$F26</f>
        <v>3.2186079115000004</v>
      </c>
    </row>
    <row r="27" spans="1:32" x14ac:dyDescent="0.25">
      <c r="A27" s="112" t="s">
        <v>309</v>
      </c>
      <c r="B27" s="11" t="e">
        <f ca="1">Table10s5!B27*'F-gas GWPs'!$F27</f>
        <v>#VALUE!</v>
      </c>
      <c r="C27" s="11" t="e">
        <f ca="1">Table10s5!C27*'F-gas GWPs'!$F27</f>
        <v>#VALUE!</v>
      </c>
      <c r="D27" s="11" t="e">
        <f ca="1">Table10s5!D27*'F-gas GWPs'!$F27</f>
        <v>#VALUE!</v>
      </c>
      <c r="E27" s="11" t="e">
        <f ca="1">Table10s5!E27*'F-gas GWPs'!$F27</f>
        <v>#VALUE!</v>
      </c>
      <c r="F27" s="11" t="e">
        <f ca="1">Table10s5!F27*'F-gas GWPs'!$F27</f>
        <v>#VALUE!</v>
      </c>
      <c r="G27" s="11" t="e">
        <f ca="1">Table10s5!G27*'F-gas GWPs'!$F27</f>
        <v>#VALUE!</v>
      </c>
      <c r="H27" s="11" t="e">
        <f ca="1">Table10s5!H27*'F-gas GWPs'!$F27</f>
        <v>#VALUE!</v>
      </c>
      <c r="I27" s="11" t="e">
        <f ca="1">Table10s5!I27*'F-gas GWPs'!$F27</f>
        <v>#VALUE!</v>
      </c>
      <c r="J27" s="11" t="e">
        <f ca="1">Table10s5!J27*'F-gas GWPs'!$F27</f>
        <v>#VALUE!</v>
      </c>
      <c r="K27" s="11" t="e">
        <f ca="1">Table10s5!K27*'F-gas GWPs'!$F27</f>
        <v>#VALUE!</v>
      </c>
      <c r="L27" s="11" t="e">
        <f ca="1">Table10s5!L27*'F-gas GWPs'!$F27</f>
        <v>#VALUE!</v>
      </c>
      <c r="M27" s="11" t="e">
        <f ca="1">Table10s5!M27*'F-gas GWPs'!$F27</f>
        <v>#VALUE!</v>
      </c>
      <c r="N27" s="11" t="e">
        <f ca="1">Table10s5!N27*'F-gas GWPs'!$F27</f>
        <v>#VALUE!</v>
      </c>
      <c r="O27" s="11" t="e">
        <f ca="1">Table10s5!O27*'F-gas GWPs'!$F27</f>
        <v>#VALUE!</v>
      </c>
      <c r="P27" s="11" t="e">
        <f ca="1">Table10s5!P27*'F-gas GWPs'!$F27</f>
        <v>#VALUE!</v>
      </c>
      <c r="Q27" s="11">
        <f ca="1">Table10s5!Q27*'F-gas GWPs'!$F27</f>
        <v>4.0494000000000002E-2</v>
      </c>
      <c r="R27" s="11">
        <f ca="1">Table10s5!R27*'F-gas GWPs'!$F27</f>
        <v>9.9210300000000001E-2</v>
      </c>
      <c r="S27" s="11">
        <f ca="1">Table10s5!S27*'F-gas GWPs'!$F27</f>
        <v>0.1761489</v>
      </c>
      <c r="T27" s="11">
        <f ca="1">Table10s5!T27*'F-gas GWPs'!$F27</f>
        <v>0.23081580000000002</v>
      </c>
      <c r="U27" s="11">
        <f ca="1">Table10s5!U27*'F-gas GWPs'!$F27</f>
        <v>0.29398644000000002</v>
      </c>
      <c r="V27" s="11">
        <f ca="1">Table10s5!V27*'F-gas GWPs'!$F27</f>
        <v>0.23950176299999998</v>
      </c>
      <c r="W27" s="11">
        <f ca="1">Table10s5!W27*'F-gas GWPs'!$F27</f>
        <v>0.74794680899999999</v>
      </c>
      <c r="X27" s="11">
        <f ca="1">Table10s5!X27*'F-gas GWPs'!$F27</f>
        <v>0.86619167100000005</v>
      </c>
      <c r="Y27" s="11">
        <f ca="1">Table10s5!Y27*'F-gas GWPs'!$F27</f>
        <v>1.097722071</v>
      </c>
      <c r="Z27" s="11">
        <f ca="1">Table10s5!Z27*'F-gas GWPs'!$F27</f>
        <v>1.369596405</v>
      </c>
      <c r="AA27" s="11">
        <f ca="1">Table10s5!AA27*'F-gas GWPs'!$F27</f>
        <v>1.647125607</v>
      </c>
      <c r="AB27" s="11">
        <f ca="1">Table10s5!AB27*'F-gas GWPs'!$F27</f>
        <v>1.7407262970000001</v>
      </c>
      <c r="AC27" s="11">
        <f ca="1">Table10s5!AC27*'F-gas GWPs'!$F27</f>
        <v>2.1133179033</v>
      </c>
      <c r="AD27" s="11">
        <f ca="1">Table10s5!AD27*'F-gas GWPs'!$F27</f>
        <v>2.4123903896999996</v>
      </c>
      <c r="AE27" s="11">
        <f ca="1">Table10s5!AE27*'F-gas GWPs'!$F27</f>
        <v>2.4532146539999999</v>
      </c>
      <c r="AF27" s="11">
        <f ca="1">Table10s5!AF27*'F-gas GWPs'!$F27</f>
        <v>2.8869803079</v>
      </c>
    </row>
    <row r="28" spans="1:32" x14ac:dyDescent="0.25">
      <c r="A28" s="11" t="s">
        <v>335</v>
      </c>
      <c r="B28" s="11">
        <f t="shared" ref="B28:AF28" ca="1" si="2">SUMIF(B9:B27,"&lt;&gt;#VALUE!")</f>
        <v>0</v>
      </c>
      <c r="C28" s="11">
        <f t="shared" ca="1" si="2"/>
        <v>0</v>
      </c>
      <c r="D28" s="11">
        <f t="shared" ca="1" si="2"/>
        <v>0</v>
      </c>
      <c r="E28" s="11">
        <f ca="1">SUMIF(E9:E27,"&lt;&gt;#VALUE!")</f>
        <v>0.28600000000000003</v>
      </c>
      <c r="F28" s="11">
        <f t="shared" ca="1" si="2"/>
        <v>0.35749999999999998</v>
      </c>
      <c r="G28" s="11">
        <f t="shared" ca="1" si="2"/>
        <v>7.9018875364789007</v>
      </c>
      <c r="H28" s="11">
        <f t="shared" ca="1" si="2"/>
        <v>24.5099321782881</v>
      </c>
      <c r="I28" s="11">
        <f t="shared" ca="1" si="2"/>
        <v>62.925652124233451</v>
      </c>
      <c r="J28" s="11">
        <f t="shared" ca="1" si="2"/>
        <v>94.810154911443789</v>
      </c>
      <c r="K28" s="11">
        <f t="shared" ca="1" si="2"/>
        <v>121.80494196103099</v>
      </c>
      <c r="L28" s="11">
        <f t="shared" ca="1" si="2"/>
        <v>177.95465029843584</v>
      </c>
      <c r="M28" s="11">
        <f t="shared" ca="1" si="2"/>
        <v>233.61366839716078</v>
      </c>
      <c r="N28" s="11">
        <f t="shared" ca="1" si="2"/>
        <v>300.05663931631221</v>
      </c>
      <c r="O28" s="11">
        <f t="shared" ca="1" si="2"/>
        <v>401.30885363631972</v>
      </c>
      <c r="P28" s="11">
        <f t="shared" ca="1" si="2"/>
        <v>503.77826418068116</v>
      </c>
      <c r="Q28" s="11">
        <f t="shared" ca="1" si="2"/>
        <v>582.50488443149004</v>
      </c>
      <c r="R28" s="11">
        <f t="shared" ca="1" si="2"/>
        <v>693.93381451301514</v>
      </c>
      <c r="S28" s="11">
        <f t="shared" ca="1" si="2"/>
        <v>798.59883965004462</v>
      </c>
      <c r="T28" s="11">
        <f t="shared" ca="1" si="2"/>
        <v>906.72786613611117</v>
      </c>
      <c r="U28" s="11">
        <f t="shared" ca="1" si="2"/>
        <v>1010.7712323923893</v>
      </c>
      <c r="V28" s="11">
        <f t="shared" ca="1" si="2"/>
        <v>993.93003789624424</v>
      </c>
      <c r="W28" s="11">
        <f t="shared" ca="1" si="2"/>
        <v>1053.15894953917</v>
      </c>
      <c r="X28" s="11">
        <f t="shared" ca="1" si="2"/>
        <v>1182.4050537273017</v>
      </c>
      <c r="Y28" s="11">
        <f t="shared" ca="1" si="2"/>
        <v>1230.3752678886572</v>
      </c>
      <c r="Z28" s="11">
        <f t="shared" ca="1" si="2"/>
        <v>1292.3660883427158</v>
      </c>
      <c r="AA28" s="11">
        <f t="shared" ca="1" si="2"/>
        <v>1315.6422048102122</v>
      </c>
      <c r="AB28" s="11">
        <f t="shared" ca="1" si="2"/>
        <v>1438.0944162676271</v>
      </c>
      <c r="AC28" s="11">
        <f t="shared" ca="1" si="2"/>
        <v>1573.6029441873056</v>
      </c>
      <c r="AD28" s="11">
        <f t="shared" ca="1" si="2"/>
        <v>1673.1202820696765</v>
      </c>
      <c r="AE28" s="11">
        <f t="shared" ca="1" si="2"/>
        <v>1840.404989472592</v>
      </c>
      <c r="AF28" s="11">
        <f t="shared" ca="1" si="2"/>
        <v>1733.8297917898415</v>
      </c>
    </row>
    <row r="30" spans="1:32" x14ac:dyDescent="0.25">
      <c r="A30" s="112" t="s">
        <v>312</v>
      </c>
      <c r="B30" s="11">
        <f ca="1">Table10s5!B30*'F-gas GWPs'!$F30</f>
        <v>780.62934799999994</v>
      </c>
      <c r="C30" s="11">
        <f ca="1">Table10s5!C30*'F-gas GWPs'!$F30</f>
        <v>780.62934799999994</v>
      </c>
      <c r="D30" s="11">
        <f ca="1">Table10s5!D30*'F-gas GWPs'!$F30</f>
        <v>775.68987199999992</v>
      </c>
      <c r="E30" s="11">
        <f ca="1">Table10s5!E30*'F-gas GWPs'!$F30</f>
        <v>385.01900000000001</v>
      </c>
      <c r="F30" s="11">
        <f ca="1">Table10s5!F30*'F-gas GWPs'!$F30</f>
        <v>175.143</v>
      </c>
      <c r="G30" s="11">
        <f ca="1">Table10s5!G30*'F-gas GWPs'!$F30</f>
        <v>155.19</v>
      </c>
      <c r="H30" s="11">
        <f ca="1">Table10s5!H30*'F-gas GWPs'!$F30</f>
        <v>121.935</v>
      </c>
      <c r="I30" s="11">
        <f ca="1">Table10s5!I30*'F-gas GWPs'!$F30</f>
        <v>197.31300000000002</v>
      </c>
      <c r="J30" s="11">
        <f ca="1">Table10s5!J30*'F-gas GWPs'!$F30</f>
        <v>165.536</v>
      </c>
      <c r="K30" s="11">
        <f ca="1">Table10s5!K30*'F-gas GWPs'!$F30</f>
        <v>67.322900000000004</v>
      </c>
      <c r="L30" s="11">
        <f ca="1">Table10s5!L30*'F-gas GWPs'!$F30</f>
        <v>57.198600000000006</v>
      </c>
      <c r="M30" s="11">
        <f ca="1">Table10s5!M30*'F-gas GWPs'!$F30</f>
        <v>56.3857</v>
      </c>
      <c r="N30" s="11">
        <f ca="1">Table10s5!N30*'F-gas GWPs'!$F30</f>
        <v>58.898299999999999</v>
      </c>
      <c r="O30" s="11">
        <f ca="1">Table10s5!O30*'F-gas GWPs'!$F30</f>
        <v>62.371599999999994</v>
      </c>
      <c r="P30" s="11">
        <f ca="1">Table10s5!P30*'F-gas GWPs'!$F30</f>
        <v>92.375</v>
      </c>
      <c r="Q30" s="11">
        <f ca="1">Table10s5!Q30*'F-gas GWPs'!$F30</f>
        <v>75.378</v>
      </c>
      <c r="R30" s="11">
        <f ca="1">Table10s5!R30*'F-gas GWPs'!$F30</f>
        <v>57.789800000000007</v>
      </c>
      <c r="S30" s="11">
        <f ca="1">Table10s5!S30*'F-gas GWPs'!$F30</f>
        <v>80.551000000000002</v>
      </c>
      <c r="T30" s="11">
        <f ca="1">Table10s5!T30*'F-gas GWPs'!$F30</f>
        <v>39.167000000000002</v>
      </c>
      <c r="U30" s="11">
        <f ca="1">Table10s5!U30*'F-gas GWPs'!$F30</f>
        <v>35.398099999999999</v>
      </c>
      <c r="V30" s="11">
        <f ca="1">Table10s5!V30*'F-gas GWPs'!$F30</f>
        <v>43.527100000000004</v>
      </c>
      <c r="W30" s="11">
        <f ca="1">Table10s5!W30*'F-gas GWPs'!$F30</f>
        <v>39.396090000000001</v>
      </c>
      <c r="X30" s="11">
        <f ca="1">Table10s5!X30*'F-gas GWPs'!$F30</f>
        <v>29.296804592054997</v>
      </c>
      <c r="Y30" s="11">
        <f ca="1">Table10s5!Y30*'F-gas GWPs'!$F30</f>
        <v>39.557411562812</v>
      </c>
      <c r="Z30" s="11">
        <f ca="1">Table10s5!Z30*'F-gas GWPs'!$F30</f>
        <v>40.109370353910002</v>
      </c>
      <c r="AA30" s="11">
        <f ca="1">Table10s5!AA30*'F-gas GWPs'!$F30</f>
        <v>61.182934514130004</v>
      </c>
      <c r="AB30" s="11">
        <f ca="1">Table10s5!AB30*'F-gas GWPs'!$F30</f>
        <v>48.827432865654295</v>
      </c>
      <c r="AC30" s="11">
        <f ca="1">Table10s5!AC30*'F-gas GWPs'!$F30</f>
        <v>40.581223231406</v>
      </c>
      <c r="AD30" s="11">
        <f ca="1">Table10s5!AD30*'F-gas GWPs'!$F30</f>
        <v>50.389454000000001</v>
      </c>
      <c r="AE30" s="11">
        <f ca="1">Table10s5!AE30*'F-gas GWPs'!$F30</f>
        <v>60.339065414056002</v>
      </c>
      <c r="AF30" s="11">
        <f ca="1">Table10s5!AF30*'F-gas GWPs'!$F30</f>
        <v>74.286915273999995</v>
      </c>
    </row>
    <row r="31" spans="1:32" x14ac:dyDescent="0.25">
      <c r="A31" s="112" t="s">
        <v>313</v>
      </c>
      <c r="B31" s="11">
        <f ca="1">Table10s5!B31*'F-gas GWPs'!$F31</f>
        <v>129.32</v>
      </c>
      <c r="C31" s="11">
        <f ca="1">Table10s5!C31*'F-gas GWPs'!$F31</f>
        <v>129.32</v>
      </c>
      <c r="D31" s="11">
        <f ca="1">Table10s5!D31*'F-gas GWPs'!$F31</f>
        <v>128.1</v>
      </c>
      <c r="E31" s="11">
        <f ca="1">Table10s5!E31*'F-gas GWPs'!$F31</f>
        <v>76.86</v>
      </c>
      <c r="F31" s="11">
        <f ca="1">Table10s5!F31*'F-gas GWPs'!$F31</f>
        <v>35.014000000000003</v>
      </c>
      <c r="G31" s="11">
        <f ca="1">Table10s5!G31*'F-gas GWPs'!$F31</f>
        <v>30.988000000000003</v>
      </c>
      <c r="H31" s="11">
        <f ca="1">Table10s5!H31*'F-gas GWPs'!$F31</f>
        <v>24.277999999999999</v>
      </c>
      <c r="I31" s="11">
        <f ca="1">Table10s5!I31*'F-gas GWPs'!$F31</f>
        <v>39.284000000000006</v>
      </c>
      <c r="J31" s="11">
        <f ca="1">Table10s5!J31*'F-gas GWPs'!$F31</f>
        <v>33.062000000000005</v>
      </c>
      <c r="K31" s="11">
        <f ca="1">Table10s5!K31*'F-gas GWPs'!$F31</f>
        <v>13.42</v>
      </c>
      <c r="L31" s="11">
        <f ca="1">Table10s5!L31*'F-gas GWPs'!$F31</f>
        <v>11.468</v>
      </c>
      <c r="M31" s="11">
        <f ca="1">Table10s5!M31*'F-gas GWPs'!$F31</f>
        <v>11.224</v>
      </c>
      <c r="N31" s="11">
        <f ca="1">Table10s5!N31*'F-gas GWPs'!$F31</f>
        <v>11.712</v>
      </c>
      <c r="O31" s="11">
        <f ca="1">Table10s5!O31*'F-gas GWPs'!$F31</f>
        <v>12.444000000000001</v>
      </c>
      <c r="P31" s="11">
        <f ca="1">Table10s5!P31*'F-gas GWPs'!$F31</f>
        <v>18.544</v>
      </c>
      <c r="Q31" s="11">
        <f ca="1">Table10s5!Q31*'F-gas GWPs'!$F31</f>
        <v>15.128</v>
      </c>
      <c r="R31" s="11">
        <f ca="1">Table10s5!R31*'F-gas GWPs'!$F31</f>
        <v>11.59</v>
      </c>
      <c r="S31" s="11">
        <f ca="1">Table10s5!S31*'F-gas GWPs'!$F31</f>
        <v>15.981999999999999</v>
      </c>
      <c r="T31" s="11">
        <f ca="1">Table10s5!T31*'F-gas GWPs'!$F31</f>
        <v>7.8080000000000007</v>
      </c>
      <c r="U31" s="11">
        <f ca="1">Table10s5!U31*'F-gas GWPs'!$F31</f>
        <v>7.0759999999999996</v>
      </c>
      <c r="V31" s="11">
        <f ca="1">Table10s5!V31*'F-gas GWPs'!$F31</f>
        <v>8.6620000000000008</v>
      </c>
      <c r="W31" s="11">
        <f ca="1">Table10s5!W31*'F-gas GWPs'!$F31</f>
        <v>8.1654599999999995</v>
      </c>
      <c r="X31" s="11">
        <f ca="1">Table10s5!X31*'F-gas GWPs'!$F31</f>
        <v>5.8531623647900002</v>
      </c>
      <c r="Y31" s="11">
        <f ca="1">Table10s5!Y31*'F-gas GWPs'!$F31</f>
        <v>7.9024291941359994</v>
      </c>
      <c r="Z31" s="11">
        <f ca="1">Table10s5!Z31*'F-gas GWPs'!$F31</f>
        <v>8.01376539398</v>
      </c>
      <c r="AA31" s="11">
        <f ca="1">Table10s5!AA31*'F-gas GWPs'!$F31</f>
        <v>12.224734428962</v>
      </c>
      <c r="AB31" s="11">
        <f ca="1">Table10s5!AB31*'F-gas GWPs'!$F31</f>
        <v>9.7554404770420007</v>
      </c>
      <c r="AC31" s="11">
        <f ca="1">Table10s5!AC31*'F-gas GWPs'!$F31</f>
        <v>8.1074556970679996</v>
      </c>
      <c r="AD31" s="11">
        <f ca="1">Table10s5!AD31*'F-gas GWPs'!$F31</f>
        <v>10.065488</v>
      </c>
      <c r="AE31" s="11">
        <f ca="1">Table10s5!AE31*'F-gas GWPs'!$F31</f>
        <v>12.053832378768</v>
      </c>
      <c r="AF31" s="11">
        <f ca="1">Table10s5!AF31*'F-gas GWPs'!$F31</f>
        <v>14.840680971999999</v>
      </c>
    </row>
    <row r="32" spans="1:32" x14ac:dyDescent="0.25">
      <c r="A32" s="112" t="s">
        <v>314</v>
      </c>
      <c r="B32" s="11" t="e">
        <f ca="1">Table10s5!B32*'F-gas GWPs'!$F32</f>
        <v>#VALUE!</v>
      </c>
      <c r="C32" s="11" t="e">
        <f ca="1">Table10s5!C32*'F-gas GWPs'!$F32</f>
        <v>#VALUE!</v>
      </c>
      <c r="D32" s="11" t="e">
        <f ca="1">Table10s5!D32*'F-gas GWPs'!$F32</f>
        <v>#VALUE!</v>
      </c>
      <c r="E32" s="11" t="e">
        <f ca="1">Table10s5!E32*'F-gas GWPs'!$F32</f>
        <v>#VALUE!</v>
      </c>
      <c r="F32" s="11" t="e">
        <f ca="1">Table10s5!F32*'F-gas GWPs'!$F32</f>
        <v>#VALUE!</v>
      </c>
      <c r="G32" s="11" t="e">
        <f ca="1">Table10s5!G32*'F-gas GWPs'!$F32</f>
        <v>#VALUE!</v>
      </c>
      <c r="H32" s="11">
        <f ca="1">Table10s5!H32*'F-gas GWPs'!$F32</f>
        <v>7.0640000000000001</v>
      </c>
      <c r="I32" s="11">
        <f ca="1">Table10s5!I32*'F-gas GWPs'!$F32</f>
        <v>42.383999999999993</v>
      </c>
      <c r="J32" s="11">
        <f ca="1">Table10s5!J32*'F-gas GWPs'!$F32</f>
        <v>2.5077199999999999</v>
      </c>
      <c r="K32" s="11">
        <f ca="1">Table10s5!K32*'F-gas GWPs'!$F32</f>
        <v>70.64</v>
      </c>
      <c r="L32" s="11" t="e">
        <f ca="1">Table10s5!L32*'F-gas GWPs'!$F32</f>
        <v>#VALUE!</v>
      </c>
      <c r="M32" s="11" t="e">
        <f ca="1">Table10s5!M32*'F-gas GWPs'!$F32</f>
        <v>#VALUE!</v>
      </c>
      <c r="N32" s="11" t="e">
        <f ca="1">Table10s5!N32*'F-gas GWPs'!$F32</f>
        <v>#VALUE!</v>
      </c>
      <c r="O32" s="11">
        <f ca="1">Table10s5!O32*'F-gas GWPs'!$F32</f>
        <v>9.6688500000000008</v>
      </c>
      <c r="P32" s="11">
        <f ca="1">Table10s5!P32*'F-gas GWPs'!$F32</f>
        <v>15.894</v>
      </c>
      <c r="Q32" s="11">
        <f ca="1">Table10s5!Q32*'F-gas GWPs'!$F32</f>
        <v>8.6092499999999994</v>
      </c>
      <c r="R32" s="11" t="e">
        <f ca="1">Table10s5!R32*'F-gas GWPs'!$F32</f>
        <v>#VALUE!</v>
      </c>
      <c r="S32" s="11">
        <f ca="1">Table10s5!S32*'F-gas GWPs'!$F32</f>
        <v>10.198650000000001</v>
      </c>
      <c r="T32" s="11">
        <f ca="1">Table10s5!T32*'F-gas GWPs'!$F32</f>
        <v>1.4304600000000001</v>
      </c>
      <c r="U32" s="11">
        <f ca="1">Table10s5!U32*'F-gas GWPs'!$F32</f>
        <v>2.9933700000000001</v>
      </c>
      <c r="V32" s="11">
        <f ca="1">Table10s5!V32*'F-gas GWPs'!$F32</f>
        <v>1.6688700000000001</v>
      </c>
      <c r="W32" s="11" t="e">
        <f ca="1">Table10s5!W32*'F-gas GWPs'!$F32</f>
        <v>#VALUE!</v>
      </c>
      <c r="X32" s="11">
        <f ca="1">Table10s5!X32*'F-gas GWPs'!$F32</f>
        <v>1.766E-3</v>
      </c>
      <c r="Y32" s="11">
        <f ca="1">Table10s5!Y32*'F-gas GWPs'!$F32</f>
        <v>1.766E-3</v>
      </c>
      <c r="Z32" s="11">
        <f ca="1">Table10s5!Z32*'F-gas GWPs'!$F32</f>
        <v>2.1191999999999999E-3</v>
      </c>
      <c r="AA32" s="11">
        <f ca="1">Table10s5!AA32*'F-gas GWPs'!$F32</f>
        <v>2.1191999999999999E-3</v>
      </c>
      <c r="AB32" s="11">
        <f ca="1">Table10s5!AB32*'F-gas GWPs'!$F32</f>
        <v>2.3399499999999999E-3</v>
      </c>
      <c r="AC32" s="11">
        <f ca="1">Table10s5!AC32*'F-gas GWPs'!$F32</f>
        <v>2.7372999999999998E-3</v>
      </c>
      <c r="AD32" s="11">
        <f ca="1">Table10s5!AD32*'F-gas GWPs'!$F32</f>
        <v>2.78145E-3</v>
      </c>
      <c r="AE32" s="11">
        <f ca="1">Table10s5!AE32*'F-gas GWPs'!$F32</f>
        <v>3.2671000000000002E-3</v>
      </c>
      <c r="AF32" s="11">
        <f ca="1">Table10s5!AF32*'F-gas GWPs'!$F32</f>
        <v>4.0176500000000002E-3</v>
      </c>
    </row>
    <row r="33" spans="1:32" x14ac:dyDescent="0.25">
      <c r="A33" s="112" t="s">
        <v>315</v>
      </c>
      <c r="B33" s="11" t="e">
        <f ca="1">Table10s5!B33*'F-gas GWPs'!$F33</f>
        <v>#VALUE!</v>
      </c>
      <c r="C33" s="11" t="e">
        <f ca="1">Table10s5!C33*'F-gas GWPs'!$F33</f>
        <v>#VALUE!</v>
      </c>
      <c r="D33" s="11" t="e">
        <f ca="1">Table10s5!D33*'F-gas GWPs'!$F33</f>
        <v>#VALUE!</v>
      </c>
      <c r="E33" s="11" t="e">
        <f ca="1">Table10s5!E33*'F-gas GWPs'!$F33</f>
        <v>#VALUE!</v>
      </c>
      <c r="F33" s="11" t="e">
        <f ca="1">Table10s5!F33*'F-gas GWPs'!$F33</f>
        <v>#VALUE!</v>
      </c>
      <c r="G33" s="11" t="e">
        <f ca="1">Table10s5!G33*'F-gas GWPs'!$F33</f>
        <v>#VALUE!</v>
      </c>
      <c r="H33" s="11" t="e">
        <f ca="1">Table10s5!H33*'F-gas GWPs'!$F33</f>
        <v>#VALUE!</v>
      </c>
      <c r="I33" s="11" t="e">
        <f ca="1">Table10s5!I33*'F-gas GWPs'!$F33</f>
        <v>#VALUE!</v>
      </c>
      <c r="J33" s="11" t="e">
        <f ca="1">Table10s5!J33*'F-gas GWPs'!$F33</f>
        <v>#VALUE!</v>
      </c>
      <c r="K33" s="11" t="e">
        <f ca="1">Table10s5!K33*'F-gas GWPs'!$F33</f>
        <v>#VALUE!</v>
      </c>
      <c r="L33" s="11" t="e">
        <f ca="1">Table10s5!L33*'F-gas GWPs'!$F33</f>
        <v>#VALUE!</v>
      </c>
      <c r="M33" s="11" t="e">
        <f ca="1">Table10s5!M33*'F-gas GWPs'!$F33</f>
        <v>#VALUE!</v>
      </c>
      <c r="N33" s="11" t="e">
        <f ca="1">Table10s5!N33*'F-gas GWPs'!$F33</f>
        <v>#VALUE!</v>
      </c>
      <c r="O33" s="11" t="e">
        <f ca="1">Table10s5!O33*'F-gas GWPs'!$F33</f>
        <v>#VALUE!</v>
      </c>
      <c r="P33" s="11" t="e">
        <f ca="1">Table10s5!P33*'F-gas GWPs'!$F33</f>
        <v>#VALUE!</v>
      </c>
      <c r="Q33" s="11" t="e">
        <f ca="1">Table10s5!Q33*'F-gas GWPs'!$F33</f>
        <v>#VALUE!</v>
      </c>
      <c r="R33" s="11" t="e">
        <f ca="1">Table10s5!R33*'F-gas GWPs'!$F33</f>
        <v>#VALUE!</v>
      </c>
      <c r="S33" s="11" t="e">
        <f ca="1">Table10s5!S33*'F-gas GWPs'!$F33</f>
        <v>#VALUE!</v>
      </c>
      <c r="T33" s="11" t="e">
        <f ca="1">Table10s5!T33*'F-gas GWPs'!$F33</f>
        <v>#VALUE!</v>
      </c>
      <c r="U33" s="11" t="e">
        <f ca="1">Table10s5!U33*'F-gas GWPs'!$F33</f>
        <v>#VALUE!</v>
      </c>
      <c r="V33" s="11" t="e">
        <f ca="1">Table10s5!V33*'F-gas GWPs'!$F33</f>
        <v>#VALUE!</v>
      </c>
      <c r="W33" s="11" t="e">
        <f ca="1">Table10s5!W33*'F-gas GWPs'!$F33</f>
        <v>#VALUE!</v>
      </c>
      <c r="X33" s="11" t="e">
        <f ca="1">Table10s5!X33*'F-gas GWPs'!$F33</f>
        <v>#VALUE!</v>
      </c>
      <c r="Y33" s="11" t="e">
        <f ca="1">Table10s5!Y33*'F-gas GWPs'!$F33</f>
        <v>#VALUE!</v>
      </c>
      <c r="Z33" s="11" t="e">
        <f ca="1">Table10s5!Z33*'F-gas GWPs'!$F33</f>
        <v>#VALUE!</v>
      </c>
      <c r="AA33" s="11" t="e">
        <f ca="1">Table10s5!AA33*'F-gas GWPs'!$F33</f>
        <v>#VALUE!</v>
      </c>
      <c r="AB33" s="11" t="e">
        <f ca="1">Table10s5!AB33*'F-gas GWPs'!$F33</f>
        <v>#VALUE!</v>
      </c>
      <c r="AC33" s="11" t="e">
        <f ca="1">Table10s5!AC33*'F-gas GWPs'!$F33</f>
        <v>#VALUE!</v>
      </c>
      <c r="AD33" s="11" t="e">
        <f ca="1">Table10s5!AD33*'F-gas GWPs'!$F33</f>
        <v>#VALUE!</v>
      </c>
      <c r="AE33" s="11" t="e">
        <f ca="1">Table10s5!AE33*'F-gas GWPs'!$F33</f>
        <v>#VALUE!</v>
      </c>
      <c r="AF33" s="11" t="e">
        <f ca="1">Table10s5!AF33*'F-gas GWPs'!$F33</f>
        <v>#VALUE!</v>
      </c>
    </row>
    <row r="34" spans="1:32" x14ac:dyDescent="0.25">
      <c r="A34" s="112" t="s">
        <v>316</v>
      </c>
      <c r="B34" s="11" t="e">
        <f ca="1">Table10s5!B34*'F-gas GWPs'!$F34</f>
        <v>#VALUE!</v>
      </c>
      <c r="C34" s="11" t="e">
        <f ca="1">Table10s5!C34*'F-gas GWPs'!$F34</f>
        <v>#VALUE!</v>
      </c>
      <c r="D34" s="11" t="e">
        <f ca="1">Table10s5!D34*'F-gas GWPs'!$F34</f>
        <v>#VALUE!</v>
      </c>
      <c r="E34" s="11" t="e">
        <f ca="1">Table10s5!E34*'F-gas GWPs'!$F34</f>
        <v>#VALUE!</v>
      </c>
      <c r="F34" s="11" t="e">
        <f ca="1">Table10s5!F34*'F-gas GWPs'!$F34</f>
        <v>#VALUE!</v>
      </c>
      <c r="G34" s="11" t="e">
        <f ca="1">Table10s5!G34*'F-gas GWPs'!$F34</f>
        <v>#VALUE!</v>
      </c>
      <c r="H34" s="11" t="e">
        <f ca="1">Table10s5!H34*'F-gas GWPs'!$F34</f>
        <v>#VALUE!</v>
      </c>
      <c r="I34" s="11" t="e">
        <f ca="1">Table10s5!I34*'F-gas GWPs'!$F34</f>
        <v>#VALUE!</v>
      </c>
      <c r="J34" s="11" t="e">
        <f ca="1">Table10s5!J34*'F-gas GWPs'!$F34</f>
        <v>#VALUE!</v>
      </c>
      <c r="K34" s="11" t="e">
        <f ca="1">Table10s5!K34*'F-gas GWPs'!$F34</f>
        <v>#VALUE!</v>
      </c>
      <c r="L34" s="11" t="e">
        <f ca="1">Table10s5!L34*'F-gas GWPs'!$F34</f>
        <v>#VALUE!</v>
      </c>
      <c r="M34" s="11" t="e">
        <f ca="1">Table10s5!M34*'F-gas GWPs'!$F34</f>
        <v>#VALUE!</v>
      </c>
      <c r="N34" s="11" t="e">
        <f ca="1">Table10s5!N34*'F-gas GWPs'!$F34</f>
        <v>#VALUE!</v>
      </c>
      <c r="O34" s="11" t="e">
        <f ca="1">Table10s5!O34*'F-gas GWPs'!$F34</f>
        <v>#VALUE!</v>
      </c>
      <c r="P34" s="11" t="e">
        <f ca="1">Table10s5!P34*'F-gas GWPs'!$F34</f>
        <v>#VALUE!</v>
      </c>
      <c r="Q34" s="11" t="e">
        <f ca="1">Table10s5!Q34*'F-gas GWPs'!$F34</f>
        <v>#VALUE!</v>
      </c>
      <c r="R34" s="11" t="e">
        <f ca="1">Table10s5!R34*'F-gas GWPs'!$F34</f>
        <v>#VALUE!</v>
      </c>
      <c r="S34" s="11" t="e">
        <f ca="1">Table10s5!S34*'F-gas GWPs'!$F34</f>
        <v>#VALUE!</v>
      </c>
      <c r="T34" s="11" t="e">
        <f ca="1">Table10s5!T34*'F-gas GWPs'!$F34</f>
        <v>#VALUE!</v>
      </c>
      <c r="U34" s="11" t="e">
        <f ca="1">Table10s5!U34*'F-gas GWPs'!$F34</f>
        <v>#VALUE!</v>
      </c>
      <c r="V34" s="11" t="e">
        <f ca="1">Table10s5!V34*'F-gas GWPs'!$F34</f>
        <v>#VALUE!</v>
      </c>
      <c r="W34" s="11" t="e">
        <f ca="1">Table10s5!W34*'F-gas GWPs'!$F34</f>
        <v>#VALUE!</v>
      </c>
      <c r="X34" s="11" t="e">
        <f ca="1">Table10s5!X34*'F-gas GWPs'!$F34</f>
        <v>#VALUE!</v>
      </c>
      <c r="Y34" s="11" t="e">
        <f ca="1">Table10s5!Y34*'F-gas GWPs'!$F34</f>
        <v>#VALUE!</v>
      </c>
      <c r="Z34" s="11" t="e">
        <f ca="1">Table10s5!Z34*'F-gas GWPs'!$F34</f>
        <v>#VALUE!</v>
      </c>
      <c r="AA34" s="11" t="e">
        <f ca="1">Table10s5!AA34*'F-gas GWPs'!$F34</f>
        <v>#VALUE!</v>
      </c>
      <c r="AB34" s="11" t="e">
        <f ca="1">Table10s5!AB34*'F-gas GWPs'!$F34</f>
        <v>#VALUE!</v>
      </c>
      <c r="AC34" s="11" t="e">
        <f ca="1">Table10s5!AC34*'F-gas GWPs'!$F34</f>
        <v>#VALUE!</v>
      </c>
      <c r="AD34" s="11" t="e">
        <f ca="1">Table10s5!AD34*'F-gas GWPs'!$F34</f>
        <v>#VALUE!</v>
      </c>
      <c r="AE34" s="11" t="e">
        <f ca="1">Table10s5!AE34*'F-gas GWPs'!$F34</f>
        <v>#VALUE!</v>
      </c>
      <c r="AF34" s="11" t="e">
        <f ca="1">Table10s5!AF34*'F-gas GWPs'!$F34</f>
        <v>#VALUE!</v>
      </c>
    </row>
    <row r="35" spans="1:32" x14ac:dyDescent="0.25">
      <c r="A35" s="112" t="s">
        <v>317</v>
      </c>
      <c r="B35" s="11" t="e">
        <f ca="1">Table10s5!B35*'F-gas GWPs'!$F35</f>
        <v>#VALUE!</v>
      </c>
      <c r="C35" s="11" t="e">
        <f ca="1">Table10s5!C35*'F-gas GWPs'!$F35</f>
        <v>#VALUE!</v>
      </c>
      <c r="D35" s="11" t="e">
        <f ca="1">Table10s5!D35*'F-gas GWPs'!$F35</f>
        <v>#VALUE!</v>
      </c>
      <c r="E35" s="11" t="e">
        <f ca="1">Table10s5!E35*'F-gas GWPs'!$F35</f>
        <v>#VALUE!</v>
      </c>
      <c r="F35" s="11" t="e">
        <f ca="1">Table10s5!F35*'F-gas GWPs'!$F35</f>
        <v>#VALUE!</v>
      </c>
      <c r="G35" s="11" t="e">
        <f ca="1">Table10s5!G35*'F-gas GWPs'!$F35</f>
        <v>#VALUE!</v>
      </c>
      <c r="H35" s="11" t="e">
        <f ca="1">Table10s5!H35*'F-gas GWPs'!$F35</f>
        <v>#VALUE!</v>
      </c>
      <c r="I35" s="11" t="e">
        <f ca="1">Table10s5!I35*'F-gas GWPs'!$F35</f>
        <v>#VALUE!</v>
      </c>
      <c r="J35" s="11" t="e">
        <f ca="1">Table10s5!J35*'F-gas GWPs'!$F35</f>
        <v>#VALUE!</v>
      </c>
      <c r="K35" s="11" t="e">
        <f ca="1">Table10s5!K35*'F-gas GWPs'!$F35</f>
        <v>#VALUE!</v>
      </c>
      <c r="L35" s="11" t="e">
        <f ca="1">Table10s5!L35*'F-gas GWPs'!$F35</f>
        <v>#VALUE!</v>
      </c>
      <c r="M35" s="11" t="e">
        <f ca="1">Table10s5!M35*'F-gas GWPs'!$F35</f>
        <v>#VALUE!</v>
      </c>
      <c r="N35" s="11" t="e">
        <f ca="1">Table10s5!N35*'F-gas GWPs'!$F35</f>
        <v>#VALUE!</v>
      </c>
      <c r="O35" s="11" t="e">
        <f ca="1">Table10s5!O35*'F-gas GWPs'!$F35</f>
        <v>#VALUE!</v>
      </c>
      <c r="P35" s="11" t="e">
        <f ca="1">Table10s5!P35*'F-gas GWPs'!$F35</f>
        <v>#VALUE!</v>
      </c>
      <c r="Q35" s="11" t="e">
        <f ca="1">Table10s5!Q35*'F-gas GWPs'!$F35</f>
        <v>#VALUE!</v>
      </c>
      <c r="R35" s="11" t="e">
        <f ca="1">Table10s5!R35*'F-gas GWPs'!$F35</f>
        <v>#VALUE!</v>
      </c>
      <c r="S35" s="11" t="e">
        <f ca="1">Table10s5!S35*'F-gas GWPs'!$F35</f>
        <v>#VALUE!</v>
      </c>
      <c r="T35" s="11" t="e">
        <f ca="1">Table10s5!T35*'F-gas GWPs'!$F35</f>
        <v>#VALUE!</v>
      </c>
      <c r="U35" s="11" t="e">
        <f ca="1">Table10s5!U35*'F-gas GWPs'!$F35</f>
        <v>#VALUE!</v>
      </c>
      <c r="V35" s="11" t="e">
        <f ca="1">Table10s5!V35*'F-gas GWPs'!$F35</f>
        <v>#VALUE!</v>
      </c>
      <c r="W35" s="11" t="e">
        <f ca="1">Table10s5!W35*'F-gas GWPs'!$F35</f>
        <v>#VALUE!</v>
      </c>
      <c r="X35" s="11" t="e">
        <f ca="1">Table10s5!X35*'F-gas GWPs'!$F35</f>
        <v>#VALUE!</v>
      </c>
      <c r="Y35" s="11" t="e">
        <f ca="1">Table10s5!Y35*'F-gas GWPs'!$F35</f>
        <v>#VALUE!</v>
      </c>
      <c r="Z35" s="11" t="e">
        <f ca="1">Table10s5!Z35*'F-gas GWPs'!$F35</f>
        <v>#VALUE!</v>
      </c>
      <c r="AA35" s="11" t="e">
        <f ca="1">Table10s5!AA35*'F-gas GWPs'!$F35</f>
        <v>#VALUE!</v>
      </c>
      <c r="AB35" s="11" t="e">
        <f ca="1">Table10s5!AB35*'F-gas GWPs'!$F35</f>
        <v>#VALUE!</v>
      </c>
      <c r="AC35" s="11" t="e">
        <f ca="1">Table10s5!AC35*'F-gas GWPs'!$F35</f>
        <v>#VALUE!</v>
      </c>
      <c r="AD35" s="11" t="e">
        <f ca="1">Table10s5!AD35*'F-gas GWPs'!$F35</f>
        <v>#VALUE!</v>
      </c>
      <c r="AE35" s="11" t="e">
        <f ca="1">Table10s5!AE35*'F-gas GWPs'!$F35</f>
        <v>#VALUE!</v>
      </c>
      <c r="AF35" s="11" t="e">
        <f ca="1">Table10s5!AF35*'F-gas GWPs'!$F35</f>
        <v>#VALUE!</v>
      </c>
    </row>
    <row r="36" spans="1:32" x14ac:dyDescent="0.25">
      <c r="A36" s="112" t="s">
        <v>318</v>
      </c>
      <c r="B36" s="11" t="e">
        <f ca="1">Table10s5!B36*'F-gas GWPs'!$F36</f>
        <v>#VALUE!</v>
      </c>
      <c r="C36" s="11" t="e">
        <f ca="1">Table10s5!C36*'F-gas GWPs'!$F36</f>
        <v>#VALUE!</v>
      </c>
      <c r="D36" s="11" t="e">
        <f ca="1">Table10s5!D36*'F-gas GWPs'!$F36</f>
        <v>#VALUE!</v>
      </c>
      <c r="E36" s="11" t="e">
        <f ca="1">Table10s5!E36*'F-gas GWPs'!$F36</f>
        <v>#VALUE!</v>
      </c>
      <c r="F36" s="11" t="e">
        <f ca="1">Table10s5!F36*'F-gas GWPs'!$F36</f>
        <v>#VALUE!</v>
      </c>
      <c r="G36" s="11" t="e">
        <f ca="1">Table10s5!G36*'F-gas GWPs'!$F36</f>
        <v>#VALUE!</v>
      </c>
      <c r="H36" s="11" t="e">
        <f ca="1">Table10s5!H36*'F-gas GWPs'!$F36</f>
        <v>#VALUE!</v>
      </c>
      <c r="I36" s="11" t="e">
        <f ca="1">Table10s5!I36*'F-gas GWPs'!$F36</f>
        <v>#VALUE!</v>
      </c>
      <c r="J36" s="11" t="e">
        <f ca="1">Table10s5!J36*'F-gas GWPs'!$F36</f>
        <v>#VALUE!</v>
      </c>
      <c r="K36" s="11" t="e">
        <f ca="1">Table10s5!K36*'F-gas GWPs'!$F36</f>
        <v>#VALUE!</v>
      </c>
      <c r="L36" s="11" t="e">
        <f ca="1">Table10s5!L36*'F-gas GWPs'!$F36</f>
        <v>#VALUE!</v>
      </c>
      <c r="M36" s="11" t="e">
        <f ca="1">Table10s5!M36*'F-gas GWPs'!$F36</f>
        <v>#VALUE!</v>
      </c>
      <c r="N36" s="11" t="e">
        <f ca="1">Table10s5!N36*'F-gas GWPs'!$F36</f>
        <v>#VALUE!</v>
      </c>
      <c r="O36" s="11" t="e">
        <f ca="1">Table10s5!O36*'F-gas GWPs'!$F36</f>
        <v>#VALUE!</v>
      </c>
      <c r="P36" s="11" t="e">
        <f ca="1">Table10s5!P36*'F-gas GWPs'!$F36</f>
        <v>#VALUE!</v>
      </c>
      <c r="Q36" s="11" t="e">
        <f ca="1">Table10s5!Q36*'F-gas GWPs'!$F36</f>
        <v>#VALUE!</v>
      </c>
      <c r="R36" s="11" t="e">
        <f ca="1">Table10s5!R36*'F-gas GWPs'!$F36</f>
        <v>#VALUE!</v>
      </c>
      <c r="S36" s="11" t="e">
        <f ca="1">Table10s5!S36*'F-gas GWPs'!$F36</f>
        <v>#VALUE!</v>
      </c>
      <c r="T36" s="11" t="e">
        <f ca="1">Table10s5!T36*'F-gas GWPs'!$F36</f>
        <v>#VALUE!</v>
      </c>
      <c r="U36" s="11" t="e">
        <f ca="1">Table10s5!U36*'F-gas GWPs'!$F36</f>
        <v>#VALUE!</v>
      </c>
      <c r="V36" s="11" t="e">
        <f ca="1">Table10s5!V36*'F-gas GWPs'!$F36</f>
        <v>#VALUE!</v>
      </c>
      <c r="W36" s="11" t="e">
        <f ca="1">Table10s5!W36*'F-gas GWPs'!$F36</f>
        <v>#VALUE!</v>
      </c>
      <c r="X36" s="11" t="e">
        <f ca="1">Table10s5!X36*'F-gas GWPs'!$F36</f>
        <v>#VALUE!</v>
      </c>
      <c r="Y36" s="11" t="e">
        <f ca="1">Table10s5!Y36*'F-gas GWPs'!$F36</f>
        <v>#VALUE!</v>
      </c>
      <c r="Z36" s="11" t="e">
        <f ca="1">Table10s5!Z36*'F-gas GWPs'!$F36</f>
        <v>#VALUE!</v>
      </c>
      <c r="AA36" s="11" t="e">
        <f ca="1">Table10s5!AA36*'F-gas GWPs'!$F36</f>
        <v>#VALUE!</v>
      </c>
      <c r="AB36" s="11" t="e">
        <f ca="1">Table10s5!AB36*'F-gas GWPs'!$F36</f>
        <v>#VALUE!</v>
      </c>
      <c r="AC36" s="11" t="e">
        <f ca="1">Table10s5!AC36*'F-gas GWPs'!$F36</f>
        <v>#VALUE!</v>
      </c>
      <c r="AD36" s="11" t="e">
        <f ca="1">Table10s5!AD36*'F-gas GWPs'!$F36</f>
        <v>#VALUE!</v>
      </c>
      <c r="AE36" s="11" t="e">
        <f ca="1">Table10s5!AE36*'F-gas GWPs'!$F36</f>
        <v>#VALUE!</v>
      </c>
      <c r="AF36" s="11" t="e">
        <f ca="1">Table10s5!AF36*'F-gas GWPs'!$F36</f>
        <v>#VALUE!</v>
      </c>
    </row>
    <row r="37" spans="1:32" x14ac:dyDescent="0.25">
      <c r="A37" s="112" t="s">
        <v>319</v>
      </c>
      <c r="B37" s="11" t="e">
        <f ca="1">Table10s5!B37*'F-gas GWPs'!$F37</f>
        <v>#VALUE!</v>
      </c>
      <c r="C37" s="11" t="e">
        <f ca="1">Table10s5!C37*'F-gas GWPs'!$F37</f>
        <v>#VALUE!</v>
      </c>
      <c r="D37" s="11" t="e">
        <f ca="1">Table10s5!D37*'F-gas GWPs'!$F37</f>
        <v>#VALUE!</v>
      </c>
      <c r="E37" s="11" t="e">
        <f ca="1">Table10s5!E37*'F-gas GWPs'!$F37</f>
        <v>#VALUE!</v>
      </c>
      <c r="F37" s="11" t="e">
        <f ca="1">Table10s5!F37*'F-gas GWPs'!$F37</f>
        <v>#VALUE!</v>
      </c>
      <c r="G37" s="11" t="e">
        <f ca="1">Table10s5!G37*'F-gas GWPs'!$F37</f>
        <v>#VALUE!</v>
      </c>
      <c r="H37" s="11" t="e">
        <f ca="1">Table10s5!H37*'F-gas GWPs'!$F37</f>
        <v>#VALUE!</v>
      </c>
      <c r="I37" s="11" t="e">
        <f ca="1">Table10s5!I37*'F-gas GWPs'!$F37</f>
        <v>#VALUE!</v>
      </c>
      <c r="J37" s="11" t="e">
        <f ca="1">Table10s5!J37*'F-gas GWPs'!$F37</f>
        <v>#VALUE!</v>
      </c>
      <c r="K37" s="11" t="e">
        <f ca="1">Table10s5!K37*'F-gas GWPs'!$F37</f>
        <v>#VALUE!</v>
      </c>
      <c r="L37" s="11" t="e">
        <f ca="1">Table10s5!L37*'F-gas GWPs'!$F37</f>
        <v>#VALUE!</v>
      </c>
      <c r="M37" s="11" t="e">
        <f ca="1">Table10s5!M37*'F-gas GWPs'!$F37</f>
        <v>#VALUE!</v>
      </c>
      <c r="N37" s="11" t="e">
        <f ca="1">Table10s5!N37*'F-gas GWPs'!$F37</f>
        <v>#VALUE!</v>
      </c>
      <c r="O37" s="11" t="e">
        <f ca="1">Table10s5!O37*'F-gas GWPs'!$F37</f>
        <v>#VALUE!</v>
      </c>
      <c r="P37" s="11" t="e">
        <f ca="1">Table10s5!P37*'F-gas GWPs'!$F37</f>
        <v>#VALUE!</v>
      </c>
      <c r="Q37" s="11" t="e">
        <f ca="1">Table10s5!Q37*'F-gas GWPs'!$F37</f>
        <v>#VALUE!</v>
      </c>
      <c r="R37" s="11" t="e">
        <f ca="1">Table10s5!R37*'F-gas GWPs'!$F37</f>
        <v>#VALUE!</v>
      </c>
      <c r="S37" s="11" t="e">
        <f ca="1">Table10s5!S37*'F-gas GWPs'!$F37</f>
        <v>#VALUE!</v>
      </c>
      <c r="T37" s="11" t="e">
        <f ca="1">Table10s5!T37*'F-gas GWPs'!$F37</f>
        <v>#VALUE!</v>
      </c>
      <c r="U37" s="11" t="e">
        <f ca="1">Table10s5!U37*'F-gas GWPs'!$F37</f>
        <v>#VALUE!</v>
      </c>
      <c r="V37" s="11" t="e">
        <f ca="1">Table10s5!V37*'F-gas GWPs'!$F37</f>
        <v>#VALUE!</v>
      </c>
      <c r="W37" s="11" t="e">
        <f ca="1">Table10s5!W37*'F-gas GWPs'!$F37</f>
        <v>#VALUE!</v>
      </c>
      <c r="X37" s="11" t="e">
        <f ca="1">Table10s5!X37*'F-gas GWPs'!$F37</f>
        <v>#VALUE!</v>
      </c>
      <c r="Y37" s="11" t="e">
        <f ca="1">Table10s5!Y37*'F-gas GWPs'!$F37</f>
        <v>#VALUE!</v>
      </c>
      <c r="Z37" s="11" t="e">
        <f ca="1">Table10s5!Z37*'F-gas GWPs'!$F37</f>
        <v>#VALUE!</v>
      </c>
      <c r="AA37" s="11" t="e">
        <f ca="1">Table10s5!AA37*'F-gas GWPs'!$F37</f>
        <v>#VALUE!</v>
      </c>
      <c r="AB37" s="11" t="e">
        <f ca="1">Table10s5!AB37*'F-gas GWPs'!$F37</f>
        <v>#VALUE!</v>
      </c>
      <c r="AC37" s="11" t="e">
        <f ca="1">Table10s5!AC37*'F-gas GWPs'!$F37</f>
        <v>#VALUE!</v>
      </c>
      <c r="AD37" s="11" t="e">
        <f ca="1">Table10s5!AD37*'F-gas GWPs'!$F37</f>
        <v>#VALUE!</v>
      </c>
      <c r="AE37" s="11" t="e">
        <f ca="1">Table10s5!AE37*'F-gas GWPs'!$F37</f>
        <v>#VALUE!</v>
      </c>
      <c r="AF37" s="11" t="e">
        <f ca="1">Table10s5!AF37*'F-gas GWPs'!$F37</f>
        <v>#VALUE!</v>
      </c>
    </row>
    <row r="38" spans="1:32" x14ac:dyDescent="0.25">
      <c r="A38" s="112" t="s">
        <v>320</v>
      </c>
      <c r="B38" s="11" t="e">
        <f ca="1">Table10s5!B38*'F-gas GWPs'!$F38</f>
        <v>#VALUE!</v>
      </c>
      <c r="C38" s="11" t="e">
        <f ca="1">Table10s5!C38*'F-gas GWPs'!$F38</f>
        <v>#VALUE!</v>
      </c>
      <c r="D38" s="11" t="e">
        <f ca="1">Table10s5!D38*'F-gas GWPs'!$F38</f>
        <v>#VALUE!</v>
      </c>
      <c r="E38" s="11" t="e">
        <f ca="1">Table10s5!E38*'F-gas GWPs'!$F38</f>
        <v>#VALUE!</v>
      </c>
      <c r="F38" s="11" t="e">
        <f ca="1">Table10s5!F38*'F-gas GWPs'!$F38</f>
        <v>#VALUE!</v>
      </c>
      <c r="G38" s="11" t="e">
        <f ca="1">Table10s5!G38*'F-gas GWPs'!$F38</f>
        <v>#VALUE!</v>
      </c>
      <c r="H38" s="11" t="e">
        <f ca="1">Table10s5!H38*'F-gas GWPs'!$F38</f>
        <v>#VALUE!</v>
      </c>
      <c r="I38" s="11" t="e">
        <f ca="1">Table10s5!I38*'F-gas GWPs'!$F38</f>
        <v>#VALUE!</v>
      </c>
      <c r="J38" s="11" t="e">
        <f ca="1">Table10s5!J38*'F-gas GWPs'!$F38</f>
        <v>#VALUE!</v>
      </c>
      <c r="K38" s="11" t="e">
        <f ca="1">Table10s5!K38*'F-gas GWPs'!$F38</f>
        <v>#VALUE!</v>
      </c>
      <c r="L38" s="11" t="e">
        <f ca="1">Table10s5!L38*'F-gas GWPs'!$F38</f>
        <v>#VALUE!</v>
      </c>
      <c r="M38" s="11" t="e">
        <f ca="1">Table10s5!M38*'F-gas GWPs'!$F38</f>
        <v>#VALUE!</v>
      </c>
      <c r="N38" s="11" t="e">
        <f ca="1">Table10s5!N38*'F-gas GWPs'!$F38</f>
        <v>#VALUE!</v>
      </c>
      <c r="O38" s="11" t="e">
        <f ca="1">Table10s5!O38*'F-gas GWPs'!$F38</f>
        <v>#VALUE!</v>
      </c>
      <c r="P38" s="11" t="e">
        <f ca="1">Table10s5!P38*'F-gas GWPs'!$F38</f>
        <v>#VALUE!</v>
      </c>
      <c r="Q38" s="11" t="e">
        <f ca="1">Table10s5!Q38*'F-gas GWPs'!$F38</f>
        <v>#VALUE!</v>
      </c>
      <c r="R38" s="11" t="e">
        <f ca="1">Table10s5!R38*'F-gas GWPs'!$F38</f>
        <v>#VALUE!</v>
      </c>
      <c r="S38" s="11" t="e">
        <f ca="1">Table10s5!S38*'F-gas GWPs'!$F38</f>
        <v>#VALUE!</v>
      </c>
      <c r="T38" s="11" t="e">
        <f ca="1">Table10s5!T38*'F-gas GWPs'!$F38</f>
        <v>#VALUE!</v>
      </c>
      <c r="U38" s="11" t="e">
        <f ca="1">Table10s5!U38*'F-gas GWPs'!$F38</f>
        <v>#VALUE!</v>
      </c>
      <c r="V38" s="11" t="e">
        <f ca="1">Table10s5!V38*'F-gas GWPs'!$F38</f>
        <v>#VALUE!</v>
      </c>
      <c r="W38" s="11" t="e">
        <f ca="1">Table10s5!W38*'F-gas GWPs'!$F38</f>
        <v>#VALUE!</v>
      </c>
      <c r="X38" s="11" t="e">
        <f ca="1">Table10s5!X38*'F-gas GWPs'!$F38</f>
        <v>#VALUE!</v>
      </c>
      <c r="Y38" s="11" t="e">
        <f ca="1">Table10s5!Y38*'F-gas GWPs'!$F38</f>
        <v>#VALUE!</v>
      </c>
      <c r="Z38" s="11" t="e">
        <f ca="1">Table10s5!Z38*'F-gas GWPs'!$F38</f>
        <v>#VALUE!</v>
      </c>
      <c r="AA38" s="11" t="e">
        <f ca="1">Table10s5!AA38*'F-gas GWPs'!$F38</f>
        <v>#VALUE!</v>
      </c>
      <c r="AB38" s="11" t="e">
        <f ca="1">Table10s5!AB38*'F-gas GWPs'!$F38</f>
        <v>#VALUE!</v>
      </c>
      <c r="AC38" s="11" t="e">
        <f ca="1">Table10s5!AC38*'F-gas GWPs'!$F38</f>
        <v>#VALUE!</v>
      </c>
      <c r="AD38" s="11" t="e">
        <f ca="1">Table10s5!AD38*'F-gas GWPs'!$F38</f>
        <v>#VALUE!</v>
      </c>
      <c r="AE38" s="11" t="e">
        <f ca="1">Table10s5!AE38*'F-gas GWPs'!$F38</f>
        <v>#VALUE!</v>
      </c>
      <c r="AF38" s="11" t="e">
        <f ca="1">Table10s5!AF38*'F-gas GWPs'!$F38</f>
        <v>#VALUE!</v>
      </c>
    </row>
    <row r="39" spans="1:32" x14ac:dyDescent="0.25">
      <c r="A39" s="124" t="s">
        <v>336</v>
      </c>
      <c r="B39" s="11">
        <f ca="1">SUMIF(B30:B38,"&lt;&gt;#VALUE!")</f>
        <v>909.94934799999987</v>
      </c>
      <c r="C39" s="11">
        <f t="shared" ref="C39:AF39" ca="1" si="3">SUMIF(C30:C38,"&lt;&gt;#VALUE!")</f>
        <v>909.94934799999987</v>
      </c>
      <c r="D39" s="11">
        <f t="shared" ca="1" si="3"/>
        <v>903.78987199999995</v>
      </c>
      <c r="E39" s="11">
        <f t="shared" ca="1" si="3"/>
        <v>461.87900000000002</v>
      </c>
      <c r="F39" s="11">
        <f ca="1">SUMIF(F30:F38,"&lt;&gt;#VALUE!")</f>
        <v>210.15700000000001</v>
      </c>
      <c r="G39" s="11">
        <f t="shared" ca="1" si="3"/>
        <v>186.178</v>
      </c>
      <c r="H39" s="11">
        <f t="shared" ca="1" si="3"/>
        <v>153.27699999999999</v>
      </c>
      <c r="I39" s="4">
        <f t="shared" ca="1" si="3"/>
        <v>278.98100000000005</v>
      </c>
      <c r="J39" s="4">
        <f t="shared" ca="1" si="3"/>
        <v>201.10572000000002</v>
      </c>
      <c r="K39" s="11">
        <f t="shared" ca="1" si="3"/>
        <v>151.38290000000001</v>
      </c>
      <c r="L39" s="11">
        <f t="shared" ca="1" si="3"/>
        <v>68.666600000000003</v>
      </c>
      <c r="M39" s="11">
        <f t="shared" ca="1" si="3"/>
        <v>67.609700000000004</v>
      </c>
      <c r="N39" s="11">
        <f t="shared" ca="1" si="3"/>
        <v>70.610299999999995</v>
      </c>
      <c r="O39" s="11">
        <f t="shared" ca="1" si="3"/>
        <v>84.484449999999995</v>
      </c>
      <c r="P39" s="11">
        <f t="shared" ca="1" si="3"/>
        <v>126.813</v>
      </c>
      <c r="Q39" s="11">
        <f t="shared" ca="1" si="3"/>
        <v>99.115250000000003</v>
      </c>
      <c r="R39" s="11">
        <f t="shared" ca="1" si="3"/>
        <v>69.379800000000003</v>
      </c>
      <c r="S39" s="11">
        <f t="shared" ca="1" si="3"/>
        <v>106.73165</v>
      </c>
      <c r="T39" s="11">
        <f t="shared" ca="1" si="3"/>
        <v>48.405460000000005</v>
      </c>
      <c r="U39" s="11">
        <f t="shared" ca="1" si="3"/>
        <v>45.467469999999999</v>
      </c>
      <c r="V39" s="11">
        <f t="shared" ca="1" si="3"/>
        <v>53.857970000000002</v>
      </c>
      <c r="W39" s="11">
        <f t="shared" ca="1" si="3"/>
        <v>47.561549999999997</v>
      </c>
      <c r="X39" s="11">
        <f t="shared" ca="1" si="3"/>
        <v>35.151732956845002</v>
      </c>
      <c r="Y39" s="11">
        <f t="shared" ca="1" si="3"/>
        <v>47.461606756948001</v>
      </c>
      <c r="Z39" s="11">
        <f t="shared" ca="1" si="3"/>
        <v>48.125254947890006</v>
      </c>
      <c r="AA39" s="125">
        <f t="shared" ca="1" si="3"/>
        <v>73.409788143092001</v>
      </c>
      <c r="AB39" s="126">
        <f t="shared" ca="1" si="3"/>
        <v>58.585213292696295</v>
      </c>
      <c r="AC39" s="11">
        <f t="shared" ca="1" si="3"/>
        <v>48.691416228473997</v>
      </c>
      <c r="AD39" s="11">
        <f t="shared" ca="1" si="3"/>
        <v>60.457723450000003</v>
      </c>
      <c r="AE39" s="11">
        <f t="shared" ca="1" si="3"/>
        <v>72.396164892824004</v>
      </c>
      <c r="AF39" s="11">
        <f t="shared" ca="1" si="3"/>
        <v>89.13161389599999</v>
      </c>
    </row>
    <row r="40" spans="1:32" x14ac:dyDescent="0.25">
      <c r="B40" s="4"/>
      <c r="C40" s="4"/>
      <c r="D40" s="4"/>
      <c r="E40" s="4"/>
      <c r="F40" s="4"/>
      <c r="G40" s="4"/>
      <c r="H40" s="4"/>
      <c r="I40" s="4"/>
      <c r="J40" s="4"/>
      <c r="K40" s="4"/>
      <c r="L40" s="4"/>
      <c r="M40" s="4"/>
      <c r="N40" s="4"/>
      <c r="O40" s="4"/>
      <c r="P40" s="4"/>
      <c r="Q40" s="4"/>
      <c r="R40" s="4"/>
      <c r="S40" s="4"/>
      <c r="T40" s="4"/>
      <c r="U40" s="4"/>
      <c r="V40" s="4"/>
      <c r="W40" s="4"/>
      <c r="X40" s="4"/>
      <c r="Y40" s="4"/>
      <c r="Z40" s="4"/>
      <c r="AA40" s="125"/>
      <c r="AB40" s="126"/>
      <c r="AC40" s="4"/>
      <c r="AD40" s="4"/>
      <c r="AE40" s="4"/>
      <c r="AF40" s="4"/>
    </row>
    <row r="41" spans="1:32" x14ac:dyDescent="0.25">
      <c r="A41" s="117" t="s">
        <v>324</v>
      </c>
      <c r="B41" s="11">
        <f ca="1">Table10s5!B42*'F-gas GWPs'!$F41</f>
        <v>19.972799999999999</v>
      </c>
      <c r="C41" s="11">
        <f ca="1">Table10s5!C42*'F-gas GWPs'!$F41</f>
        <v>19.972799999999999</v>
      </c>
      <c r="D41" s="11">
        <f ca="1">Table10s5!D42*'F-gas GWPs'!$F41</f>
        <v>20.862000000000002</v>
      </c>
      <c r="E41" s="11">
        <f ca="1">Table10s5!E42*'F-gas GWPs'!$F41</f>
        <v>21.905100000000001</v>
      </c>
      <c r="F41" s="11">
        <f ca="1">Table10s5!F42*'F-gas GWPs'!$F41</f>
        <v>22.692555000000002</v>
      </c>
      <c r="G41" s="11">
        <f ca="1">Table10s5!G42*'F-gas GWPs'!$F41</f>
        <v>23.43046275</v>
      </c>
      <c r="H41" s="11">
        <f ca="1">Table10s5!H42*'F-gas GWPs'!$F41</f>
        <v>24.4161658875</v>
      </c>
      <c r="I41" s="11">
        <f ca="1">Table10s5!I42*'F-gas GWPs'!$F41</f>
        <v>24.647454181931998</v>
      </c>
      <c r="J41" s="11">
        <f ca="1">Table10s5!J42*'F-gas GWPs'!$F41</f>
        <v>25.584566891040001</v>
      </c>
      <c r="K41" s="11">
        <f ca="1">Table10s5!K42*'F-gas GWPs'!$F41</f>
        <v>24.857395235591998</v>
      </c>
      <c r="L41" s="11">
        <f ca="1">Table10s5!L42*'F-gas GWPs'!$F41</f>
        <v>24.564684997211998</v>
      </c>
      <c r="M41" s="11">
        <f ca="1">Table10s5!M42*'F-gas GWPs'!$F41</f>
        <v>19.564154978927998</v>
      </c>
      <c r="N41" s="11">
        <f ca="1">Table10s5!N42*'F-gas GWPs'!$F41</f>
        <v>20.036733223043999</v>
      </c>
      <c r="O41" s="11">
        <f ca="1">Table10s5!O42*'F-gas GWPs'!$F41</f>
        <v>23.317375610244</v>
      </c>
      <c r="P41" s="11">
        <f ca="1">Table10s5!P42*'F-gas GWPs'!$F41</f>
        <v>25.187358493152001</v>
      </c>
      <c r="Q41" s="11">
        <f ca="1">Table10s5!Q42*'F-gas GWPs'!$F41</f>
        <v>28.915838524356001</v>
      </c>
      <c r="R41" s="11">
        <f ca="1">Table10s5!R42*'F-gas GWPs'!$F41</f>
        <v>25.413534264468002</v>
      </c>
      <c r="S41" s="11">
        <f ca="1">Table10s5!S42*'F-gas GWPs'!$F41</f>
        <v>21.045871043916001</v>
      </c>
      <c r="T41" s="11">
        <f ca="1">Table10s5!T42*'F-gas GWPs'!$F41</f>
        <v>19.874624517840001</v>
      </c>
      <c r="U41" s="11">
        <f ca="1">Table10s5!U42*'F-gas GWPs'!$F41</f>
        <v>19.341221609291999</v>
      </c>
      <c r="V41" s="11">
        <f ca="1">Table10s5!V42*'F-gas GWPs'!$F41</f>
        <v>22.536088782707999</v>
      </c>
      <c r="W41" s="11">
        <f ca="1">Table10s5!W42*'F-gas GWPs'!$F41</f>
        <v>22.837506235068002</v>
      </c>
      <c r="X41" s="11">
        <f ca="1">Table10s5!X42*'F-gas GWPs'!$F41</f>
        <v>18.939779918304001</v>
      </c>
      <c r="Y41" s="11">
        <f ca="1">Table10s5!Y42*'F-gas GWPs'!$F41</f>
        <v>20.905156815840002</v>
      </c>
      <c r="Z41" s="11">
        <f ca="1">Table10s5!Z42*'F-gas GWPs'!$F41</f>
        <v>18.190856183459999</v>
      </c>
      <c r="AA41" s="11">
        <f ca="1">Table10s5!AA42*'F-gas GWPs'!$F41</f>
        <v>16.806683468351999</v>
      </c>
      <c r="AB41" s="11">
        <f ca="1">Table10s5!AB42*'F-gas GWPs'!$F41</f>
        <v>16.470457267619999</v>
      </c>
      <c r="AC41" s="11">
        <f ca="1">Table10s5!AC42*'F-gas GWPs'!$F41</f>
        <v>17.368851441263999</v>
      </c>
      <c r="AD41" s="11">
        <f ca="1">Table10s5!AD42*'F-gas GWPs'!$F41</f>
        <v>14.795615867172</v>
      </c>
      <c r="AE41" s="11">
        <f ca="1">Table10s5!AE42*'F-gas GWPs'!$F41</f>
        <v>14.714656137876</v>
      </c>
      <c r="AF41" s="11">
        <f ca="1">Table10s5!AF42*'F-gas GWPs'!$F41</f>
        <v>15.708216288984001</v>
      </c>
    </row>
    <row r="45" spans="1:32" x14ac:dyDescent="0.25">
      <c r="A45" s="11" t="s">
        <v>337</v>
      </c>
      <c r="B45" s="11">
        <f ca="1">B28+Table10s5!B49</f>
        <v>0</v>
      </c>
      <c r="C45" s="11">
        <f ca="1">C28+Table10s5!C49</f>
        <v>0</v>
      </c>
      <c r="D45" s="11">
        <f ca="1">D28+Table10s5!D49</f>
        <v>0</v>
      </c>
      <c r="E45" s="11">
        <f ca="1">E28+Table10s5!E49</f>
        <v>0.28600000000000003</v>
      </c>
      <c r="F45" s="11">
        <f ca="1">F28+Table10s5!F49</f>
        <v>0.35749999999999998</v>
      </c>
      <c r="G45" s="11">
        <f ca="1">G28+Table10s5!G49</f>
        <v>7.9053989014789003</v>
      </c>
      <c r="H45" s="11">
        <f ca="1">H28+Table10s5!H49</f>
        <v>24.51836355064572</v>
      </c>
      <c r="I45" s="11">
        <f ca="1">I28+Table10s5!I49</f>
        <v>62.940755176531908</v>
      </c>
      <c r="J45" s="11">
        <f ca="1">J28+Table10s5!J49</f>
        <v>94.830098059595372</v>
      </c>
      <c r="K45" s="11">
        <f ca="1">K28+Table10s5!K49</f>
        <v>121.82962423549432</v>
      </c>
      <c r="L45" s="11">
        <f ca="1">L28+Table10s5!L49</f>
        <v>177.98407004272872</v>
      </c>
      <c r="M45" s="11">
        <f ca="1">M28+Table10s5!M49</f>
        <v>233.64728767107582</v>
      </c>
      <c r="N45" s="11">
        <f ca="1">N28+Table10s5!N49</f>
        <v>300.09707980592702</v>
      </c>
      <c r="O45" s="11">
        <f ca="1">O28+Table10s5!O49</f>
        <v>401.36360371199589</v>
      </c>
      <c r="P45" s="11">
        <f ca="1">P28+Table10s5!P49</f>
        <v>503.84525233030763</v>
      </c>
      <c r="Q45" s="11">
        <f ca="1">Q28+Table10s5!Q49</f>
        <v>582.57670498605137</v>
      </c>
      <c r="R45" s="11">
        <f ca="1">R28+Table10s5!R49</f>
        <v>694.01071579334644</v>
      </c>
      <c r="S45" s="11">
        <f ca="1">S28+Table10s5!S49</f>
        <v>798.68050821832549</v>
      </c>
      <c r="T45" s="11">
        <f ca="1">T28+Table10s5!T49</f>
        <v>906.82632422647134</v>
      </c>
      <c r="U45" s="11">
        <f ca="1">U28+Table10s5!U49</f>
        <v>1010.8867698187462</v>
      </c>
      <c r="V45" s="11">
        <f ca="1">V28+Table10s5!V49</f>
        <v>994.06268327975511</v>
      </c>
      <c r="W45" s="11">
        <f ca="1">W28+Table10s5!W49</f>
        <v>1053.3088123697798</v>
      </c>
      <c r="X45" s="11">
        <f ca="1">X28+Table10s5!X49</f>
        <v>1182.573195492309</v>
      </c>
      <c r="Y45" s="11">
        <f ca="1">Y28+Table10s5!Y49</f>
        <v>1230.5579771767896</v>
      </c>
      <c r="Z45" s="11">
        <f ca="1">Z28+Table10s5!Z49</f>
        <v>1292.5618235902157</v>
      </c>
      <c r="AA45" s="11">
        <f ca="1">AA28+Table10s5!AA49</f>
        <v>1315.8508340064323</v>
      </c>
      <c r="AB45" s="11">
        <f ca="1">AB28+Table10s5!AB49</f>
        <v>1438.3162248880024</v>
      </c>
      <c r="AC45" s="11">
        <f ca="1">AC28+Table10s5!AC49</f>
        <v>1573.8376405915872</v>
      </c>
      <c r="AD45" s="11">
        <f ca="1">AD28+Table10s5!AD49</f>
        <v>1673.3546250137917</v>
      </c>
      <c r="AE45" s="11">
        <f ca="1">AE28+Table10s5!AE49</f>
        <v>1840.6391928115486</v>
      </c>
      <c r="AF45" s="11">
        <f ca="1">AF28+Table10s5!AF49</f>
        <v>1734.0639951287981</v>
      </c>
    </row>
    <row r="46" spans="1:32" x14ac:dyDescent="0.25">
      <c r="A46" s="11" t="s">
        <v>338</v>
      </c>
      <c r="B46" s="11">
        <f>IF(ISNUMBER(Table10s5!B8)=FALSE,0,Table10s5!B8)</f>
        <v>0</v>
      </c>
      <c r="C46" s="11">
        <f>IF(ISNUMBER(Table10s5!C8)=FALSE,0,Table10s5!C8)</f>
        <v>0</v>
      </c>
      <c r="D46" s="11">
        <f>IF(ISNUMBER(Table10s5!D8)=FALSE,0,Table10s5!D8)</f>
        <v>0</v>
      </c>
      <c r="E46" s="11">
        <f>IF(ISNUMBER(Table10s5!E8)=FALSE,0,Table10s5!E8)</f>
        <v>0.28599999999999998</v>
      </c>
      <c r="F46" s="11">
        <f>IF(ISNUMBER(Table10s5!F8)=FALSE,0,Table10s5!F8)</f>
        <v>0.35749999999999998</v>
      </c>
      <c r="G46" s="11">
        <f>IF(ISNUMBER(Table10s5!G8)=FALSE,0,Table10s5!G8)</f>
        <v>7.9053989014794901</v>
      </c>
      <c r="H46" s="11">
        <f>IF(ISNUMBER(Table10s5!H8)=FALSE,0,Table10s5!H8)</f>
        <v>24.51836355066736</v>
      </c>
      <c r="I46" s="11">
        <f>IF(ISNUMBER(Table10s5!I8)=FALSE,0,Table10s5!I8)</f>
        <v>62.940755176522551</v>
      </c>
      <c r="J46" s="11">
        <f>IF(ISNUMBER(Table10s5!J8)=FALSE,0,Table10s5!J8)</f>
        <v>94.830098059589844</v>
      </c>
      <c r="K46" s="11">
        <f>IF(ISNUMBER(Table10s5!K8)=FALSE,0,Table10s5!K8)</f>
        <v>121.82962423549748</v>
      </c>
      <c r="L46" s="11">
        <f>IF(ISNUMBER(Table10s5!L8)=FALSE,0,Table10s5!L8)</f>
        <v>177.98407004271274</v>
      </c>
      <c r="M46" s="11">
        <f>IF(ISNUMBER(Table10s5!M8)=FALSE,0,Table10s5!M8)</f>
        <v>233.64728767108627</v>
      </c>
      <c r="N46" s="11">
        <f>IF(ISNUMBER(Table10s5!N8)=FALSE,0,Table10s5!N8)</f>
        <v>300.09707980593549</v>
      </c>
      <c r="O46" s="11">
        <f>IF(ISNUMBER(Table10s5!O8)=FALSE,0,Table10s5!O8)</f>
        <v>401.36360371201835</v>
      </c>
      <c r="P46" s="11">
        <f>IF(ISNUMBER(Table10s5!P8)=FALSE,0,Table10s5!P8)</f>
        <v>503.84525233029319</v>
      </c>
      <c r="Q46" s="11">
        <f>IF(ISNUMBER(Table10s5!Q8)=FALSE,0,Table10s5!Q8)</f>
        <v>582.5767049860724</v>
      </c>
      <c r="R46" s="11">
        <f>IF(ISNUMBER(Table10s5!R8)=FALSE,0,Table10s5!R8)</f>
        <v>694.01071579338009</v>
      </c>
      <c r="S46" s="11">
        <f>IF(ISNUMBER(Table10s5!S8)=FALSE,0,Table10s5!S8)</f>
        <v>798.68050821832253</v>
      </c>
      <c r="T46" s="11">
        <f>IF(ISNUMBER(Table10s5!T8)=FALSE,0,Table10s5!T8)</f>
        <v>906.82632422648874</v>
      </c>
      <c r="U46" s="11">
        <f>IF(ISNUMBER(Table10s5!U8)=FALSE,0,Table10s5!U8)</f>
        <v>1010.886769818749</v>
      </c>
      <c r="V46" s="11">
        <f>IF(ISNUMBER(Table10s5!V8)=FALSE,0,Table10s5!V8)</f>
        <v>994.06268327978239</v>
      </c>
      <c r="W46" s="11">
        <f>IF(ISNUMBER(Table10s5!W8)=FALSE,0,Table10s5!W8)</f>
        <v>1053.3088123697455</v>
      </c>
      <c r="X46" s="11">
        <f>IF(ISNUMBER(Table10s5!X8)=FALSE,0,Table10s5!X8)</f>
        <v>1182.5731954922828</v>
      </c>
      <c r="Y46" s="11">
        <f>IF(ISNUMBER(Table10s5!Y8)=FALSE,0,Table10s5!Y8)</f>
        <v>1230.5579771768046</v>
      </c>
      <c r="Z46" s="11">
        <f>IF(ISNUMBER(Table10s5!Z8)=FALSE,0,Table10s5!Z8)</f>
        <v>1292.5618235901898</v>
      </c>
      <c r="AA46" s="11">
        <f>IF(ISNUMBER(Table10s5!AA8)=FALSE,0,Table10s5!AA8)</f>
        <v>1315.8508340064104</v>
      </c>
      <c r="AB46" s="11">
        <f>IF(ISNUMBER(Table10s5!AB8)=FALSE,0,Table10s5!AB8)</f>
        <v>1438.3162248880417</v>
      </c>
      <c r="AC46" s="11">
        <f>IF(ISNUMBER(Table10s5!AC8)=FALSE,0,Table10s5!AC8)</f>
        <v>1573.8376405916074</v>
      </c>
      <c r="AD46" s="11">
        <f>IF(ISNUMBER(Table10s5!AD8)=FALSE,0,Table10s5!AD8)</f>
        <v>1673.3546250138286</v>
      </c>
      <c r="AE46" s="11">
        <f>IF(ISNUMBER(Table10s5!AE8)=FALSE,0,Table10s5!AE8)</f>
        <v>1840.6391928115565</v>
      </c>
      <c r="AF46" s="11">
        <f>IF(ISNUMBER(Table10s5!AF8)=FALSE,0,Table10s5!AF8)</f>
        <v>1734.0639951288383</v>
      </c>
    </row>
    <row r="47" spans="1:32" x14ac:dyDescent="0.25">
      <c r="A47" s="11" t="s">
        <v>339</v>
      </c>
      <c r="B47" s="11" t="b">
        <f ca="1">B46=B45</f>
        <v>1</v>
      </c>
      <c r="C47" s="11" t="b">
        <f t="shared" ref="C47:AF47" ca="1" si="4">C46=C45</f>
        <v>1</v>
      </c>
      <c r="D47" s="11" t="b">
        <f t="shared" ca="1" si="4"/>
        <v>1</v>
      </c>
      <c r="E47" s="11" t="b">
        <f t="shared" ca="1" si="4"/>
        <v>1</v>
      </c>
      <c r="F47" s="11" t="b">
        <f t="shared" ca="1" si="4"/>
        <v>1</v>
      </c>
      <c r="G47" s="11" t="b">
        <f t="shared" ca="1" si="4"/>
        <v>0</v>
      </c>
      <c r="H47" s="11" t="b">
        <f t="shared" ca="1" si="4"/>
        <v>0</v>
      </c>
      <c r="I47" s="11" t="b">
        <f t="shared" ca="1" si="4"/>
        <v>0</v>
      </c>
      <c r="J47" s="11" t="b">
        <f t="shared" ca="1" si="4"/>
        <v>0</v>
      </c>
      <c r="K47" s="11" t="b">
        <f t="shared" ca="1" si="4"/>
        <v>0</v>
      </c>
      <c r="L47" s="11" t="b">
        <f t="shared" ca="1" si="4"/>
        <v>0</v>
      </c>
      <c r="M47" s="11" t="b">
        <f t="shared" ca="1" si="4"/>
        <v>0</v>
      </c>
      <c r="N47" s="11" t="b">
        <f t="shared" ca="1" si="4"/>
        <v>0</v>
      </c>
      <c r="O47" s="11" t="b">
        <f t="shared" ca="1" si="4"/>
        <v>0</v>
      </c>
      <c r="P47" s="11" t="b">
        <f t="shared" ca="1" si="4"/>
        <v>0</v>
      </c>
      <c r="Q47" s="11" t="b">
        <f t="shared" ca="1" si="4"/>
        <v>0</v>
      </c>
      <c r="R47" s="11" t="b">
        <f t="shared" ca="1" si="4"/>
        <v>0</v>
      </c>
      <c r="S47" s="11" t="b">
        <f t="shared" ca="1" si="4"/>
        <v>0</v>
      </c>
      <c r="T47" s="11" t="b">
        <f t="shared" ca="1" si="4"/>
        <v>0</v>
      </c>
      <c r="U47" s="11" t="b">
        <f t="shared" ca="1" si="4"/>
        <v>1</v>
      </c>
      <c r="V47" s="11" t="b">
        <f t="shared" ca="1" si="4"/>
        <v>0</v>
      </c>
      <c r="W47" s="11" t="b">
        <f t="shared" ca="1" si="4"/>
        <v>0</v>
      </c>
      <c r="X47" s="11" t="b">
        <f t="shared" ca="1" si="4"/>
        <v>0</v>
      </c>
      <c r="Y47" s="11" t="b">
        <f t="shared" ca="1" si="4"/>
        <v>0</v>
      </c>
      <c r="Z47" s="11" t="b">
        <f t="shared" ca="1" si="4"/>
        <v>0</v>
      </c>
      <c r="AA47" s="11" t="b">
        <f t="shared" ca="1" si="4"/>
        <v>0</v>
      </c>
      <c r="AB47" s="11" t="b">
        <f t="shared" ca="1" si="4"/>
        <v>0</v>
      </c>
      <c r="AC47" s="11" t="b">
        <f t="shared" ca="1" si="4"/>
        <v>0</v>
      </c>
      <c r="AD47" s="11" t="b">
        <f t="shared" ca="1" si="4"/>
        <v>0</v>
      </c>
      <c r="AE47" s="11" t="b">
        <f t="shared" ca="1" si="4"/>
        <v>0</v>
      </c>
      <c r="AF47" s="11" t="b">
        <f t="shared" ca="1" si="4"/>
        <v>0</v>
      </c>
    </row>
    <row r="48" spans="1:32" x14ac:dyDescent="0.25">
      <c r="A48" s="11" t="s">
        <v>340</v>
      </c>
      <c r="B48" s="11">
        <f ca="1">ABS(B45-B46)</f>
        <v>0</v>
      </c>
      <c r="C48" s="11">
        <f t="shared" ref="C48:AF48" ca="1" si="5">ABS(C45-C46)</f>
        <v>0</v>
      </c>
      <c r="D48" s="11">
        <f t="shared" ca="1" si="5"/>
        <v>0</v>
      </c>
      <c r="E48" s="11">
        <f t="shared" ca="1" si="5"/>
        <v>5.5511151231257827E-17</v>
      </c>
      <c r="F48" s="11">
        <f t="shared" ca="1" si="5"/>
        <v>0</v>
      </c>
      <c r="G48" s="11">
        <f t="shared" ca="1" si="5"/>
        <v>5.8975047068088315E-13</v>
      </c>
      <c r="H48" s="11">
        <f t="shared" ca="1" si="5"/>
        <v>2.1639579017573851E-11</v>
      </c>
      <c r="I48" s="11">
        <f t="shared" ca="1" si="5"/>
        <v>9.3578478299605194E-12</v>
      </c>
      <c r="J48" s="11">
        <f t="shared" ca="1" si="5"/>
        <v>5.5280224842135794E-12</v>
      </c>
      <c r="K48" s="11">
        <f t="shared" ca="1" si="5"/>
        <v>3.1548097467748448E-12</v>
      </c>
      <c r="L48" s="11">
        <f t="shared" ca="1" si="5"/>
        <v>1.5973000699887052E-11</v>
      </c>
      <c r="M48" s="11">
        <f t="shared" ca="1" si="5"/>
        <v>1.0459189070388675E-11</v>
      </c>
      <c r="N48" s="11">
        <f t="shared" ca="1" si="5"/>
        <v>8.4696694102603942E-12</v>
      </c>
      <c r="O48" s="11">
        <f t="shared" ca="1" si="5"/>
        <v>2.2453150450019166E-11</v>
      </c>
      <c r="P48" s="11">
        <f t="shared" ca="1" si="5"/>
        <v>1.4438228390645236E-11</v>
      </c>
      <c r="Q48" s="11">
        <f t="shared" ca="1" si="5"/>
        <v>2.1032064978498966E-11</v>
      </c>
      <c r="R48" s="11">
        <f t="shared" ca="1" si="5"/>
        <v>3.3651303965598345E-11</v>
      </c>
      <c r="S48" s="11">
        <f t="shared" ca="1" si="5"/>
        <v>2.9558577807620168E-12</v>
      </c>
      <c r="T48" s="11">
        <f t="shared" ca="1" si="5"/>
        <v>1.7394086171407253E-11</v>
      </c>
      <c r="U48" s="11">
        <f t="shared" ca="1" si="5"/>
        <v>2.8421709430404007E-12</v>
      </c>
      <c r="V48" s="11">
        <f t="shared" ca="1" si="5"/>
        <v>2.7284841053187847E-11</v>
      </c>
      <c r="W48" s="11">
        <f t="shared" ca="1" si="5"/>
        <v>3.4333424991928041E-11</v>
      </c>
      <c r="X48" s="11">
        <f t="shared" ca="1" si="5"/>
        <v>2.6147972675971687E-11</v>
      </c>
      <c r="Y48" s="11">
        <f t="shared" ca="1" si="5"/>
        <v>1.5006662579253316E-11</v>
      </c>
      <c r="Z48" s="11">
        <f t="shared" ca="1" si="5"/>
        <v>2.5920599000528455E-11</v>
      </c>
      <c r="AA48" s="11">
        <f t="shared" ca="1" si="5"/>
        <v>2.1827872842550278E-11</v>
      </c>
      <c r="AB48" s="11">
        <f t="shared" ca="1" si="5"/>
        <v>3.9335645851679146E-11</v>
      </c>
      <c r="AC48" s="11">
        <f t="shared" ca="1" si="5"/>
        <v>2.0236257114447653E-11</v>
      </c>
      <c r="AD48" s="11">
        <f t="shared" ca="1" si="5"/>
        <v>3.6834535421803594E-11</v>
      </c>
      <c r="AE48" s="11">
        <f t="shared" ca="1" si="5"/>
        <v>7.9580786405131221E-12</v>
      </c>
      <c r="AF48" s="11">
        <f t="shared" ca="1" si="5"/>
        <v>4.0245140553452075E-11</v>
      </c>
    </row>
    <row r="49" spans="1:32" x14ac:dyDescent="0.25">
      <c r="A49" s="11" t="s">
        <v>341</v>
      </c>
      <c r="B49" s="11" t="b">
        <f t="shared" ref="B49:AF49" ca="1" si="6">IF(B48&lt;$A$5, TRUE, FALSE)</f>
        <v>1</v>
      </c>
      <c r="C49" s="11" t="b">
        <f t="shared" ca="1" si="6"/>
        <v>1</v>
      </c>
      <c r="D49" s="11" t="b">
        <f t="shared" ca="1" si="6"/>
        <v>1</v>
      </c>
      <c r="E49" s="11" t="b">
        <f t="shared" ca="1" si="6"/>
        <v>1</v>
      </c>
      <c r="F49" s="11" t="b">
        <f t="shared" ca="1" si="6"/>
        <v>1</v>
      </c>
      <c r="G49" s="11" t="b">
        <f t="shared" ca="1" si="6"/>
        <v>1</v>
      </c>
      <c r="H49" s="11" t="b">
        <f t="shared" ca="1" si="6"/>
        <v>1</v>
      </c>
      <c r="I49" s="11" t="b">
        <f t="shared" ca="1" si="6"/>
        <v>1</v>
      </c>
      <c r="J49" s="11" t="b">
        <f t="shared" ca="1" si="6"/>
        <v>1</v>
      </c>
      <c r="K49" s="11" t="b">
        <f t="shared" ca="1" si="6"/>
        <v>1</v>
      </c>
      <c r="L49" s="11" t="b">
        <f t="shared" ca="1" si="6"/>
        <v>1</v>
      </c>
      <c r="M49" s="11" t="b">
        <f t="shared" ca="1" si="6"/>
        <v>1</v>
      </c>
      <c r="N49" s="11" t="b">
        <f t="shared" ca="1" si="6"/>
        <v>1</v>
      </c>
      <c r="O49" s="11" t="b">
        <f t="shared" ca="1" si="6"/>
        <v>1</v>
      </c>
      <c r="P49" s="11" t="b">
        <f t="shared" ca="1" si="6"/>
        <v>1</v>
      </c>
      <c r="Q49" s="11" t="b">
        <f t="shared" ca="1" si="6"/>
        <v>1</v>
      </c>
      <c r="R49" s="11" t="b">
        <f t="shared" ca="1" si="6"/>
        <v>1</v>
      </c>
      <c r="S49" s="11" t="b">
        <f t="shared" ca="1" si="6"/>
        <v>1</v>
      </c>
      <c r="T49" s="11" t="b">
        <f t="shared" ca="1" si="6"/>
        <v>1</v>
      </c>
      <c r="U49" s="11" t="b">
        <f t="shared" ca="1" si="6"/>
        <v>1</v>
      </c>
      <c r="V49" s="11" t="b">
        <f t="shared" ca="1" si="6"/>
        <v>1</v>
      </c>
      <c r="W49" s="11" t="b">
        <f t="shared" ca="1" si="6"/>
        <v>1</v>
      </c>
      <c r="X49" s="11" t="b">
        <f t="shared" ca="1" si="6"/>
        <v>1</v>
      </c>
      <c r="Y49" s="11" t="b">
        <f t="shared" ca="1" si="6"/>
        <v>1</v>
      </c>
      <c r="Z49" s="11" t="b">
        <f t="shared" ca="1" si="6"/>
        <v>1</v>
      </c>
      <c r="AA49" s="11" t="b">
        <f t="shared" ca="1" si="6"/>
        <v>1</v>
      </c>
      <c r="AB49" s="11" t="b">
        <f t="shared" ca="1" si="6"/>
        <v>1</v>
      </c>
      <c r="AC49" s="11" t="b">
        <f t="shared" ca="1" si="6"/>
        <v>1</v>
      </c>
      <c r="AD49" s="11" t="b">
        <f t="shared" ca="1" si="6"/>
        <v>1</v>
      </c>
      <c r="AE49" s="11" t="b">
        <f t="shared" ca="1" si="6"/>
        <v>1</v>
      </c>
      <c r="AF49" s="11" t="b">
        <f t="shared" ca="1" si="6"/>
        <v>1</v>
      </c>
    </row>
    <row r="50" spans="1:32" x14ac:dyDescent="0.25">
      <c r="A50" s="11" t="s">
        <v>342</v>
      </c>
      <c r="B50" s="11" t="b">
        <f ca="1">B39=Table10s5!B29</f>
        <v>1</v>
      </c>
      <c r="C50" s="11" t="b">
        <f ca="1">C39=Table10s5!C29</f>
        <v>1</v>
      </c>
      <c r="D50" s="11" t="b">
        <f ca="1">D39=Table10s5!D29</f>
        <v>1</v>
      </c>
      <c r="E50" s="11" t="b">
        <f ca="1">E39=Table10s5!E29</f>
        <v>1</v>
      </c>
      <c r="F50" s="11" t="b">
        <f ca="1">F39=Table10s5!F29</f>
        <v>1</v>
      </c>
      <c r="G50" s="11" t="b">
        <f ca="1">G39=Table10s5!G29</f>
        <v>1</v>
      </c>
      <c r="H50" s="11" t="b">
        <f ca="1">H39=Table10s5!H29</f>
        <v>1</v>
      </c>
      <c r="I50" s="11" t="b">
        <f ca="1">I39=Table10s5!I29</f>
        <v>1</v>
      </c>
      <c r="J50" s="11" t="b">
        <f ca="1">J39=Table10s5!J29</f>
        <v>1</v>
      </c>
      <c r="K50" s="11" t="b">
        <f ca="1">K39=Table10s5!K29</f>
        <v>1</v>
      </c>
      <c r="L50" s="11" t="b">
        <f ca="1">L39=Table10s5!L29</f>
        <v>1</v>
      </c>
      <c r="M50" s="11" t="b">
        <f ca="1">M39=Table10s5!M29</f>
        <v>1</v>
      </c>
      <c r="N50" s="11" t="b">
        <f ca="1">N39=Table10s5!N29</f>
        <v>1</v>
      </c>
      <c r="O50" s="11" t="b">
        <f ca="1">O39=Table10s5!O29</f>
        <v>1</v>
      </c>
      <c r="P50" s="11" t="b">
        <f ca="1">P39=Table10s5!P29</f>
        <v>1</v>
      </c>
      <c r="Q50" s="11" t="b">
        <f ca="1">Q39=Table10s5!Q29</f>
        <v>1</v>
      </c>
      <c r="R50" s="11" t="b">
        <f ca="1">R39=Table10s5!R29</f>
        <v>1</v>
      </c>
      <c r="S50" s="11" t="b">
        <f ca="1">S39=Table10s5!S29</f>
        <v>1</v>
      </c>
      <c r="T50" s="11" t="b">
        <f ca="1">T39=Table10s5!T29</f>
        <v>1</v>
      </c>
      <c r="U50" s="11" t="b">
        <f ca="1">U39=Table10s5!U29</f>
        <v>1</v>
      </c>
      <c r="V50" s="11" t="b">
        <f ca="1">V39=Table10s5!V29</f>
        <v>1</v>
      </c>
      <c r="W50" s="11" t="b">
        <f ca="1">W39=Table10s5!W29</f>
        <v>1</v>
      </c>
      <c r="X50" s="11" t="b">
        <f ca="1">X39=Table10s5!X29</f>
        <v>1</v>
      </c>
      <c r="Y50" s="11" t="b">
        <f ca="1">Y39=Table10s5!Y29</f>
        <v>1</v>
      </c>
      <c r="Z50" s="11" t="b">
        <f ca="1">Z39=Table10s5!Z29</f>
        <v>1</v>
      </c>
      <c r="AA50" s="11" t="b">
        <f ca="1">AA39=Table10s5!AA29</f>
        <v>0</v>
      </c>
      <c r="AB50" s="11" t="b">
        <f ca="1">AB39=Table10s5!AB29</f>
        <v>0</v>
      </c>
      <c r="AC50" s="11" t="b">
        <f ca="1">AC39=Table10s5!AC29</f>
        <v>1</v>
      </c>
      <c r="AD50" s="11" t="b">
        <f ca="1">AD39=Table10s5!AD29</f>
        <v>1</v>
      </c>
      <c r="AE50" s="11" t="b">
        <f ca="1">AE39=Table10s5!AE29</f>
        <v>1</v>
      </c>
      <c r="AF50" s="11" t="b">
        <f ca="1">AF39=Table10s5!AF29</f>
        <v>1</v>
      </c>
    </row>
    <row r="51" spans="1:32" x14ac:dyDescent="0.25">
      <c r="A51" s="11" t="s">
        <v>343</v>
      </c>
      <c r="B51" s="11">
        <f ca="1">ABS(B39-Table10s5!B29)</f>
        <v>2.2737367544323206E-13</v>
      </c>
      <c r="C51" s="11">
        <f ca="1">ABS(C39-Table10s5!C29)</f>
        <v>2.2737367544323206E-13</v>
      </c>
      <c r="D51" s="11">
        <f ca="1">ABS(D39-Table10s5!D29)</f>
        <v>0</v>
      </c>
      <c r="E51" s="11">
        <f ca="1">ABS(E39-Table10s5!E29)</f>
        <v>0</v>
      </c>
      <c r="F51" s="11">
        <f ca="1">ABS(F39-Table10s5!F29)</f>
        <v>0</v>
      </c>
      <c r="G51" s="11">
        <f ca="1">ABS(G39-Table10s5!G29)</f>
        <v>0</v>
      </c>
      <c r="H51" s="11">
        <f ca="1">ABS(H39-Table10s5!H29)</f>
        <v>0</v>
      </c>
      <c r="I51" s="11">
        <f ca="1">ABS(I39-Table10s5!I29)</f>
        <v>5.6843418860808015E-14</v>
      </c>
      <c r="J51" s="11">
        <f ca="1">ABS(J39-Table10s5!J29)</f>
        <v>2.8421709430404007E-14</v>
      </c>
      <c r="K51" s="11">
        <f ca="1">ABS(K39-Table10s5!K29)</f>
        <v>0</v>
      </c>
      <c r="L51" s="11">
        <f ca="1">ABS(L39-Table10s5!L29)</f>
        <v>0</v>
      </c>
      <c r="M51" s="11">
        <f ca="1">ABS(M39-Table10s5!M29)</f>
        <v>0</v>
      </c>
      <c r="N51" s="11">
        <f ca="1">ABS(N39-Table10s5!N29)</f>
        <v>0</v>
      </c>
      <c r="O51" s="11">
        <f ca="1">ABS(O39-Table10s5!O29)</f>
        <v>0</v>
      </c>
      <c r="P51" s="11">
        <f ca="1">ABS(P39-Table10s5!P29)</f>
        <v>0</v>
      </c>
      <c r="Q51" s="11">
        <f ca="1">ABS(Q39-Table10s5!Q29)</f>
        <v>0</v>
      </c>
      <c r="R51" s="11">
        <f ca="1">ABS(R39-Table10s5!R29)</f>
        <v>0</v>
      </c>
      <c r="S51" s="11">
        <f ca="1">ABS(S39-Table10s5!S29)</f>
        <v>0</v>
      </c>
      <c r="T51" s="11">
        <f ca="1">ABS(T39-Table10s5!T29)</f>
        <v>7.1054273576010019E-15</v>
      </c>
      <c r="U51" s="11">
        <f ca="1">ABS(U39-Table10s5!U29)</f>
        <v>0</v>
      </c>
      <c r="V51" s="11">
        <f ca="1">ABS(V39-Table10s5!V29)</f>
        <v>0</v>
      </c>
      <c r="W51" s="11">
        <f ca="1">ABS(W39-Table10s5!W29)</f>
        <v>0</v>
      </c>
      <c r="X51" s="11">
        <f ca="1">ABS(X39-Table10s5!X29)</f>
        <v>0</v>
      </c>
      <c r="Y51" s="11">
        <f ca="1">ABS(Y39-Table10s5!Y29)</f>
        <v>0</v>
      </c>
      <c r="Z51" s="11">
        <f ca="1">ABS(Z39-Table10s5!Z29)</f>
        <v>7.1054273576010019E-15</v>
      </c>
      <c r="AA51" s="11">
        <f ca="1">ABS(AA39-Table10s5!AA29)</f>
        <v>3.6607161746360362E-11</v>
      </c>
      <c r="AB51" s="11">
        <f ca="1">ABS(AB39-Table10s5!AB29)</f>
        <v>3.659295089164516E-11</v>
      </c>
      <c r="AC51" s="11">
        <f ca="1">ABS(AC39-Table10s5!AC29)</f>
        <v>0</v>
      </c>
      <c r="AD51" s="11">
        <f ca="1">ABS(AD39-Table10s5!AD29)</f>
        <v>0</v>
      </c>
      <c r="AE51" s="11">
        <f ca="1">ABS(AE39-Table10s5!AE29)</f>
        <v>0</v>
      </c>
      <c r="AF51" s="11">
        <f ca="1">ABS(AF39-Table10s5!AF29)</f>
        <v>1.4210854715202004E-14</v>
      </c>
    </row>
    <row r="52" spans="1:32" x14ac:dyDescent="0.25">
      <c r="A52" s="11" t="s">
        <v>344</v>
      </c>
      <c r="B52" s="11" t="b">
        <f t="shared" ref="B52:AF52" ca="1" si="7">IF(B51&lt;$A$5,TRUE,FALSE)</f>
        <v>1</v>
      </c>
      <c r="C52" s="11" t="b">
        <f t="shared" ca="1" si="7"/>
        <v>1</v>
      </c>
      <c r="D52" s="11" t="b">
        <f t="shared" ca="1" si="7"/>
        <v>1</v>
      </c>
      <c r="E52" s="11" t="b">
        <f t="shared" ca="1" si="7"/>
        <v>1</v>
      </c>
      <c r="F52" s="11" t="b">
        <f t="shared" ca="1" si="7"/>
        <v>1</v>
      </c>
      <c r="G52" s="11" t="b">
        <f t="shared" ca="1" si="7"/>
        <v>1</v>
      </c>
      <c r="H52" s="11" t="b">
        <f t="shared" ca="1" si="7"/>
        <v>1</v>
      </c>
      <c r="I52" s="11" t="b">
        <f t="shared" ca="1" si="7"/>
        <v>1</v>
      </c>
      <c r="J52" s="11" t="b">
        <f t="shared" ca="1" si="7"/>
        <v>1</v>
      </c>
      <c r="K52" s="11" t="b">
        <f t="shared" ca="1" si="7"/>
        <v>1</v>
      </c>
      <c r="L52" s="11" t="b">
        <f t="shared" ca="1" si="7"/>
        <v>1</v>
      </c>
      <c r="M52" s="11" t="b">
        <f t="shared" ca="1" si="7"/>
        <v>1</v>
      </c>
      <c r="N52" s="11" t="b">
        <f t="shared" ca="1" si="7"/>
        <v>1</v>
      </c>
      <c r="O52" s="11" t="b">
        <f t="shared" ca="1" si="7"/>
        <v>1</v>
      </c>
      <c r="P52" s="11" t="b">
        <f t="shared" ca="1" si="7"/>
        <v>1</v>
      </c>
      <c r="Q52" s="11" t="b">
        <f t="shared" ca="1" si="7"/>
        <v>1</v>
      </c>
      <c r="R52" s="11" t="b">
        <f t="shared" ca="1" si="7"/>
        <v>1</v>
      </c>
      <c r="S52" s="11" t="b">
        <f t="shared" ca="1" si="7"/>
        <v>1</v>
      </c>
      <c r="T52" s="11" t="b">
        <f t="shared" ca="1" si="7"/>
        <v>1</v>
      </c>
      <c r="U52" s="11" t="b">
        <f t="shared" ca="1" si="7"/>
        <v>1</v>
      </c>
      <c r="V52" s="11" t="b">
        <f t="shared" ca="1" si="7"/>
        <v>1</v>
      </c>
      <c r="W52" s="11" t="b">
        <f t="shared" ca="1" si="7"/>
        <v>1</v>
      </c>
      <c r="X52" s="11" t="b">
        <f t="shared" ca="1" si="7"/>
        <v>1</v>
      </c>
      <c r="Y52" s="11" t="b">
        <f t="shared" ca="1" si="7"/>
        <v>1</v>
      </c>
      <c r="Z52" s="11" t="b">
        <f t="shared" ca="1" si="7"/>
        <v>1</v>
      </c>
      <c r="AA52" s="11" t="b">
        <f t="shared" ca="1" si="7"/>
        <v>1</v>
      </c>
      <c r="AB52" s="11" t="b">
        <f t="shared" ca="1" si="7"/>
        <v>1</v>
      </c>
      <c r="AC52" s="11" t="b">
        <f t="shared" ca="1" si="7"/>
        <v>1</v>
      </c>
      <c r="AD52" s="11" t="b">
        <f t="shared" ca="1" si="7"/>
        <v>1</v>
      </c>
      <c r="AE52" s="11" t="b">
        <f t="shared" ca="1" si="7"/>
        <v>1</v>
      </c>
      <c r="AF52" s="11" t="b">
        <f t="shared" ca="1" si="7"/>
        <v>1</v>
      </c>
    </row>
    <row r="53" spans="1:32" x14ac:dyDescent="0.25">
      <c r="A53" s="11" t="s">
        <v>345</v>
      </c>
      <c r="B53" s="11" t="b">
        <f ca="1">B41=Table10s5!B41</f>
        <v>1</v>
      </c>
      <c r="C53" s="11" t="b">
        <f ca="1">C41=Table10s5!C41</f>
        <v>1</v>
      </c>
      <c r="D53" s="11" t="b">
        <f ca="1">D41=Table10s5!D41</f>
        <v>1</v>
      </c>
      <c r="E53" s="11" t="b">
        <f ca="1">E41=Table10s5!E41</f>
        <v>1</v>
      </c>
      <c r="F53" s="11" t="b">
        <f ca="1">F41=Table10s5!F41</f>
        <v>1</v>
      </c>
      <c r="G53" s="11" t="b">
        <f ca="1">G41=Table10s5!G41</f>
        <v>1</v>
      </c>
      <c r="H53" s="11" t="b">
        <f ca="1">H41=Table10s5!H41</f>
        <v>1</v>
      </c>
      <c r="I53" s="11" t="b">
        <f ca="1">I41=Table10s5!I41</f>
        <v>1</v>
      </c>
      <c r="J53" s="11" t="b">
        <f ca="1">J41=Table10s5!J41</f>
        <v>1</v>
      </c>
      <c r="K53" s="11" t="b">
        <f ca="1">K41=Table10s5!K41</f>
        <v>1</v>
      </c>
      <c r="L53" s="11" t="b">
        <f ca="1">L41=Table10s5!L41</f>
        <v>1</v>
      </c>
      <c r="M53" s="11" t="b">
        <f ca="1">M41=Table10s5!M41</f>
        <v>1</v>
      </c>
      <c r="N53" s="11" t="b">
        <f ca="1">N41=Table10s5!N41</f>
        <v>1</v>
      </c>
      <c r="O53" s="11" t="b">
        <f ca="1">O41=Table10s5!O41</f>
        <v>1</v>
      </c>
      <c r="P53" s="11" t="b">
        <f ca="1">P41=Table10s5!P41</f>
        <v>1</v>
      </c>
      <c r="Q53" s="11" t="b">
        <f ca="1">Q41=Table10s5!Q41</f>
        <v>1</v>
      </c>
      <c r="R53" s="11" t="b">
        <f ca="1">R41=Table10s5!R41</f>
        <v>1</v>
      </c>
      <c r="S53" s="11" t="b">
        <f ca="1">S41=Table10s5!S41</f>
        <v>1</v>
      </c>
      <c r="T53" s="11" t="b">
        <f ca="1">T41=Table10s5!T41</f>
        <v>1</v>
      </c>
      <c r="U53" s="11" t="b">
        <f ca="1">U41=Table10s5!U41</f>
        <v>1</v>
      </c>
      <c r="V53" s="11" t="b">
        <f ca="1">V41=Table10s5!V41</f>
        <v>1</v>
      </c>
      <c r="W53" s="11" t="b">
        <f ca="1">W41=Table10s5!W41</f>
        <v>1</v>
      </c>
      <c r="X53" s="11" t="b">
        <f ca="1">X41=Table10s5!X41</f>
        <v>1</v>
      </c>
      <c r="Y53" s="11" t="b">
        <f ca="1">Y41=Table10s5!Y41</f>
        <v>1</v>
      </c>
      <c r="Z53" s="11" t="b">
        <f ca="1">Z41=Table10s5!Z41</f>
        <v>1</v>
      </c>
      <c r="AA53" s="11" t="b">
        <f ca="1">AA41=Table10s5!AA41</f>
        <v>1</v>
      </c>
      <c r="AB53" s="11" t="b">
        <f ca="1">AB41=Table10s5!AB41</f>
        <v>1</v>
      </c>
      <c r="AC53" s="11" t="b">
        <f ca="1">AC41=Table10s5!AC41</f>
        <v>1</v>
      </c>
      <c r="AD53" s="11" t="b">
        <f ca="1">AD41=Table10s5!AD41</f>
        <v>1</v>
      </c>
      <c r="AE53" s="11" t="b">
        <f ca="1">AE41=Table10s5!AE41</f>
        <v>1</v>
      </c>
      <c r="AF53" s="11" t="b">
        <f ca="1">AF41=Table10s5!AF41</f>
        <v>1</v>
      </c>
    </row>
    <row r="54" spans="1:32" x14ac:dyDescent="0.25">
      <c r="A54" s="11" t="s">
        <v>346</v>
      </c>
      <c r="B54" s="4">
        <f ca="1">ABS(B41-Table10s5!B41)</f>
        <v>0</v>
      </c>
      <c r="C54" s="4">
        <f ca="1">ABS(C41-Table10s5!C41)</f>
        <v>0</v>
      </c>
      <c r="D54" s="4">
        <f ca="1">ABS(D41-Table10s5!D41)</f>
        <v>3.5527136788005009E-15</v>
      </c>
      <c r="E54" s="4">
        <f ca="1">ABS(E41-Table10s5!E41)</f>
        <v>0</v>
      </c>
      <c r="F54" s="4">
        <f ca="1">ABS(F41-Table10s5!F41)</f>
        <v>3.5527136788005009E-15</v>
      </c>
      <c r="G54" s="4">
        <f ca="1">ABS(G41-Table10s5!G41)</f>
        <v>0</v>
      </c>
      <c r="H54" s="4">
        <f ca="1">ABS(H41-Table10s5!H41)</f>
        <v>0</v>
      </c>
      <c r="I54" s="4">
        <f ca="1">ABS(I41-Table10s5!I41)</f>
        <v>3.5527136788005009E-15</v>
      </c>
      <c r="J54" s="4">
        <f ca="1">ABS(J41-Table10s5!J41)</f>
        <v>0</v>
      </c>
      <c r="K54" s="4">
        <f ca="1">ABS(K41-Table10s5!K41)</f>
        <v>3.5527136788005009E-15</v>
      </c>
      <c r="L54" s="4">
        <f ca="1">ABS(L41-Table10s5!L41)</f>
        <v>3.5527136788005009E-15</v>
      </c>
      <c r="M54" s="4">
        <f ca="1">ABS(M41-Table10s5!M41)</f>
        <v>0</v>
      </c>
      <c r="N54" s="4">
        <f ca="1">ABS(N41-Table10s5!N41)</f>
        <v>0</v>
      </c>
      <c r="O54" s="4">
        <f ca="1">ABS(O41-Table10s5!O41)</f>
        <v>0</v>
      </c>
      <c r="P54" s="4">
        <f ca="1">ABS(P41-Table10s5!P41)</f>
        <v>0</v>
      </c>
      <c r="Q54" s="4">
        <f ca="1">ABS(Q41-Table10s5!Q41)</f>
        <v>0</v>
      </c>
      <c r="R54" s="4">
        <f ca="1">ABS(R41-Table10s5!R41)</f>
        <v>0</v>
      </c>
      <c r="S54" s="4">
        <f ca="1">ABS(S41-Table10s5!S41)</f>
        <v>0</v>
      </c>
      <c r="T54" s="4">
        <f ca="1">ABS(T41-Table10s5!T41)</f>
        <v>0</v>
      </c>
      <c r="U54" s="4">
        <f ca="1">ABS(U41-Table10s5!U41)</f>
        <v>0</v>
      </c>
      <c r="V54" s="4">
        <f ca="1">ABS(V41-Table10s5!V41)</f>
        <v>0</v>
      </c>
      <c r="W54" s="4">
        <f ca="1">ABS(W41-Table10s5!W41)</f>
        <v>3.5527136788005009E-15</v>
      </c>
      <c r="X54" s="4">
        <f ca="1">ABS(X41-Table10s5!X41)</f>
        <v>0</v>
      </c>
      <c r="Y54" s="4">
        <f ca="1">ABS(Y41-Table10s5!Y41)</f>
        <v>0</v>
      </c>
      <c r="Z54" s="4">
        <f ca="1">ABS(Z41-Table10s5!Z41)</f>
        <v>0</v>
      </c>
      <c r="AA54" s="4">
        <f ca="1">ABS(AA41-Table10s5!AA41)</f>
        <v>0</v>
      </c>
      <c r="AB54" s="4">
        <f ca="1">ABS(AB41-Table10s5!AB41)</f>
        <v>0</v>
      </c>
      <c r="AC54" s="4">
        <f ca="1">ABS(AC41-Table10s5!AC41)</f>
        <v>0</v>
      </c>
      <c r="AD54" s="4">
        <f ca="1">ABS(AD41-Table10s5!AD41)</f>
        <v>0</v>
      </c>
      <c r="AE54" s="4">
        <f ca="1">ABS(AE41-Table10s5!AE41)</f>
        <v>0</v>
      </c>
      <c r="AF54" s="4">
        <f ca="1">ABS(AF41-Table10s5!AF41)</f>
        <v>1.7763568394002505E-15</v>
      </c>
    </row>
    <row r="55" spans="1:32" x14ac:dyDescent="0.25">
      <c r="A55" s="11" t="s">
        <v>347</v>
      </c>
      <c r="B55" s="11" t="b">
        <f t="shared" ref="B55:AF55" ca="1" si="8">IF(B54&lt;$A$5,TRUE,FALSE)</f>
        <v>1</v>
      </c>
      <c r="C55" s="11" t="b">
        <f t="shared" ca="1" si="8"/>
        <v>1</v>
      </c>
      <c r="D55" s="11" t="b">
        <f t="shared" ca="1" si="8"/>
        <v>1</v>
      </c>
      <c r="E55" s="11" t="b">
        <f t="shared" ca="1" si="8"/>
        <v>1</v>
      </c>
      <c r="F55" s="11" t="b">
        <f t="shared" ca="1" si="8"/>
        <v>1</v>
      </c>
      <c r="G55" s="11" t="b">
        <f t="shared" ca="1" si="8"/>
        <v>1</v>
      </c>
      <c r="H55" s="11" t="b">
        <f t="shared" ca="1" si="8"/>
        <v>1</v>
      </c>
      <c r="I55" s="11" t="b">
        <f t="shared" ca="1" si="8"/>
        <v>1</v>
      </c>
      <c r="J55" s="11" t="b">
        <f t="shared" ca="1" si="8"/>
        <v>1</v>
      </c>
      <c r="K55" s="11" t="b">
        <f t="shared" ca="1" si="8"/>
        <v>1</v>
      </c>
      <c r="L55" s="11" t="b">
        <f t="shared" ca="1" si="8"/>
        <v>1</v>
      </c>
      <c r="M55" s="11" t="b">
        <f t="shared" ca="1" si="8"/>
        <v>1</v>
      </c>
      <c r="N55" s="11" t="b">
        <f t="shared" ca="1" si="8"/>
        <v>1</v>
      </c>
      <c r="O55" s="11" t="b">
        <f t="shared" ca="1" si="8"/>
        <v>1</v>
      </c>
      <c r="P55" s="11" t="b">
        <f t="shared" ca="1" si="8"/>
        <v>1</v>
      </c>
      <c r="Q55" s="11" t="b">
        <f t="shared" ca="1" si="8"/>
        <v>1</v>
      </c>
      <c r="R55" s="11" t="b">
        <f t="shared" ca="1" si="8"/>
        <v>1</v>
      </c>
      <c r="S55" s="11" t="b">
        <f t="shared" ca="1" si="8"/>
        <v>1</v>
      </c>
      <c r="T55" s="11" t="b">
        <f t="shared" ca="1" si="8"/>
        <v>1</v>
      </c>
      <c r="U55" s="11" t="b">
        <f t="shared" ca="1" si="8"/>
        <v>1</v>
      </c>
      <c r="V55" s="11" t="b">
        <f t="shared" ca="1" si="8"/>
        <v>1</v>
      </c>
      <c r="W55" s="11" t="b">
        <f t="shared" ca="1" si="8"/>
        <v>1</v>
      </c>
      <c r="X55" s="11" t="b">
        <f t="shared" ca="1" si="8"/>
        <v>1</v>
      </c>
      <c r="Y55" s="11" t="b">
        <f t="shared" ca="1" si="8"/>
        <v>1</v>
      </c>
      <c r="Z55" s="11" t="b">
        <f t="shared" ca="1" si="8"/>
        <v>1</v>
      </c>
      <c r="AA55" s="11" t="b">
        <f t="shared" ca="1" si="8"/>
        <v>1</v>
      </c>
      <c r="AB55" s="11" t="b">
        <f t="shared" ca="1" si="8"/>
        <v>1</v>
      </c>
      <c r="AC55" s="11" t="b">
        <f t="shared" ca="1" si="8"/>
        <v>1</v>
      </c>
      <c r="AD55" s="11" t="b">
        <f t="shared" ca="1" si="8"/>
        <v>1</v>
      </c>
      <c r="AE55" s="11" t="b">
        <f t="shared" ca="1" si="8"/>
        <v>1</v>
      </c>
      <c r="AF55" s="11" t="b">
        <f t="shared" ca="1" si="8"/>
        <v>1</v>
      </c>
    </row>
  </sheetData>
  <conditionalFormatting sqref="B2:AF3">
    <cfRule type="cellIs" dxfId="1" priority="1" operator="equal">
      <formula>TRUE</formula>
    </cfRule>
    <cfRule type="cellIs" dxfId="0" priority="2" operator="equal">
      <formula>FALSE</formula>
    </cfRule>
  </conditionalFormatting>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E5F2B-6854-4D91-BFC6-5C53AAEC5666}">
  <sheetPr>
    <tabColor rgb="FF5BC4BE"/>
  </sheetPr>
  <dimension ref="A1:R32"/>
  <sheetViews>
    <sheetView workbookViewId="0">
      <selection activeCell="L23" sqref="L23"/>
    </sheetView>
  </sheetViews>
  <sheetFormatPr defaultRowHeight="15" x14ac:dyDescent="0.25"/>
  <cols>
    <col min="1" max="1" width="9.140625" style="11"/>
    <col min="2" max="2" width="10.140625" style="11" bestFit="1" customWidth="1"/>
    <col min="3" max="4" width="9.28515625" style="11" bestFit="1" customWidth="1"/>
    <col min="5" max="13" width="9.140625" style="11"/>
    <col min="14" max="14" width="16.42578125" style="11" bestFit="1" customWidth="1"/>
    <col min="15" max="16384" width="9.140625" style="11"/>
  </cols>
  <sheetData>
    <row r="1" spans="1:14" x14ac:dyDescent="0.25">
      <c r="B1" s="11" t="s">
        <v>350</v>
      </c>
    </row>
    <row r="2" spans="1:14" ht="18" x14ac:dyDescent="0.25">
      <c r="A2" s="130" t="s">
        <v>8</v>
      </c>
      <c r="B2" s="131" t="s">
        <v>9</v>
      </c>
      <c r="C2" s="131" t="s">
        <v>10</v>
      </c>
      <c r="D2" s="131" t="s">
        <v>351</v>
      </c>
      <c r="F2" s="132" t="s">
        <v>352</v>
      </c>
      <c r="G2" s="11" t="str">
        <f ca="1">OFFSET('F-gas GWPs'!A6,0,'F-gas GWPs'!F3,1,1)</f>
        <v>AR4</v>
      </c>
    </row>
    <row r="3" spans="1:14" x14ac:dyDescent="0.25">
      <c r="A3" s="133" t="s">
        <v>42</v>
      </c>
      <c r="B3" s="134">
        <f t="array" aca="1" ref="B3:B32" ca="1">TRANSPOSE('F-gas conversion'!C45:AF45)</f>
        <v>0</v>
      </c>
      <c r="C3" s="134">
        <f t="array" aca="1" ref="C3:C32" ca="1">TRANSPOSE('F-gas conversion'!C39:AF39)</f>
        <v>909.94934799999987</v>
      </c>
      <c r="D3" s="134">
        <f t="array" aca="1" ref="D3:D32" ca="1">TRANSPOSE('F-gas conversion'!C41:AF41)</f>
        <v>19.972799999999999</v>
      </c>
      <c r="N3" s="137"/>
    </row>
    <row r="4" spans="1:14" x14ac:dyDescent="0.25">
      <c r="A4" s="133" t="s">
        <v>43</v>
      </c>
      <c r="B4" s="134">
        <f ca="1"/>
        <v>0</v>
      </c>
      <c r="C4" s="134">
        <f ca="1"/>
        <v>903.78987199999995</v>
      </c>
      <c r="D4" s="134">
        <f ca="1"/>
        <v>20.862000000000002</v>
      </c>
      <c r="N4" s="137"/>
    </row>
    <row r="5" spans="1:14" x14ac:dyDescent="0.25">
      <c r="A5" s="133" t="s">
        <v>44</v>
      </c>
      <c r="B5" s="134">
        <f ca="1"/>
        <v>0.28600000000000003</v>
      </c>
      <c r="C5" s="134">
        <f ca="1"/>
        <v>461.87900000000002</v>
      </c>
      <c r="D5" s="134">
        <f ca="1"/>
        <v>21.905100000000001</v>
      </c>
      <c r="N5" s="137"/>
    </row>
    <row r="6" spans="1:14" x14ac:dyDescent="0.25">
      <c r="A6" s="133" t="s">
        <v>45</v>
      </c>
      <c r="B6" s="134">
        <f ca="1"/>
        <v>0.35749999999999998</v>
      </c>
      <c r="C6" s="134">
        <f ca="1"/>
        <v>210.15700000000001</v>
      </c>
      <c r="D6" s="134">
        <f ca="1"/>
        <v>22.692555000000002</v>
      </c>
      <c r="N6" s="137"/>
    </row>
    <row r="7" spans="1:14" x14ac:dyDescent="0.25">
      <c r="A7" s="133" t="s">
        <v>46</v>
      </c>
      <c r="B7" s="134">
        <f ca="1"/>
        <v>7.9053989014789003</v>
      </c>
      <c r="C7" s="134">
        <f ca="1"/>
        <v>186.178</v>
      </c>
      <c r="D7" s="134">
        <f ca="1"/>
        <v>23.43046275</v>
      </c>
      <c r="N7" s="137"/>
    </row>
    <row r="8" spans="1:14" x14ac:dyDescent="0.25">
      <c r="A8" s="133" t="s">
        <v>47</v>
      </c>
      <c r="B8" s="134">
        <f ca="1"/>
        <v>24.51836355064572</v>
      </c>
      <c r="C8" s="134">
        <f ca="1"/>
        <v>153.27699999999999</v>
      </c>
      <c r="D8" s="134">
        <f ca="1"/>
        <v>24.4161658875</v>
      </c>
      <c r="N8" s="137"/>
    </row>
    <row r="9" spans="1:14" x14ac:dyDescent="0.25">
      <c r="A9" s="133" t="s">
        <v>48</v>
      </c>
      <c r="B9" s="134">
        <f ca="1"/>
        <v>62.940755176531908</v>
      </c>
      <c r="C9" s="134">
        <f ca="1"/>
        <v>278.98100000000005</v>
      </c>
      <c r="D9" s="134">
        <f ca="1"/>
        <v>24.647454181931998</v>
      </c>
      <c r="N9" s="137"/>
    </row>
    <row r="10" spans="1:14" x14ac:dyDescent="0.25">
      <c r="A10" s="133" t="s">
        <v>49</v>
      </c>
      <c r="B10" s="134">
        <f ca="1"/>
        <v>94.830098059595372</v>
      </c>
      <c r="C10" s="134">
        <f ca="1"/>
        <v>201.10572000000002</v>
      </c>
      <c r="D10" s="134">
        <f ca="1"/>
        <v>25.584566891040001</v>
      </c>
      <c r="N10" s="137"/>
    </row>
    <row r="11" spans="1:14" x14ac:dyDescent="0.25">
      <c r="A11" s="133" t="s">
        <v>50</v>
      </c>
      <c r="B11" s="134">
        <f ca="1"/>
        <v>121.82962423549432</v>
      </c>
      <c r="C11" s="134">
        <f ca="1"/>
        <v>151.38290000000001</v>
      </c>
      <c r="D11" s="134">
        <f ca="1"/>
        <v>24.857395235591998</v>
      </c>
      <c r="N11" s="137"/>
    </row>
    <row r="12" spans="1:14" x14ac:dyDescent="0.25">
      <c r="A12" s="133" t="s">
        <v>51</v>
      </c>
      <c r="B12" s="134">
        <f ca="1"/>
        <v>177.98407004272872</v>
      </c>
      <c r="C12" s="134">
        <f ca="1"/>
        <v>68.666600000000003</v>
      </c>
      <c r="D12" s="134">
        <f ca="1"/>
        <v>24.564684997211998</v>
      </c>
      <c r="N12" s="137"/>
    </row>
    <row r="13" spans="1:14" x14ac:dyDescent="0.25">
      <c r="A13" s="133" t="s">
        <v>52</v>
      </c>
      <c r="B13" s="134">
        <f ca="1"/>
        <v>233.64728767107582</v>
      </c>
      <c r="C13" s="134">
        <f ca="1"/>
        <v>67.609700000000004</v>
      </c>
      <c r="D13" s="134">
        <f ca="1"/>
        <v>19.564154978927998</v>
      </c>
      <c r="N13" s="137"/>
    </row>
    <row r="14" spans="1:14" x14ac:dyDescent="0.25">
      <c r="A14" s="133" t="s">
        <v>53</v>
      </c>
      <c r="B14" s="134">
        <f ca="1"/>
        <v>300.09707980592702</v>
      </c>
      <c r="C14" s="134">
        <f ca="1"/>
        <v>70.610299999999995</v>
      </c>
      <c r="D14" s="134">
        <f ca="1"/>
        <v>20.036733223043999</v>
      </c>
      <c r="N14" s="137"/>
    </row>
    <row r="15" spans="1:14" x14ac:dyDescent="0.25">
      <c r="A15" s="133" t="s">
        <v>54</v>
      </c>
      <c r="B15" s="134">
        <f ca="1"/>
        <v>401.36360371199589</v>
      </c>
      <c r="C15" s="134">
        <f ca="1"/>
        <v>84.484449999999995</v>
      </c>
      <c r="D15" s="134">
        <f ca="1"/>
        <v>23.317375610244</v>
      </c>
      <c r="F15" s="2"/>
      <c r="N15" s="137"/>
    </row>
    <row r="16" spans="1:14" x14ac:dyDescent="0.25">
      <c r="A16" s="133" t="s">
        <v>55</v>
      </c>
      <c r="B16" s="134">
        <f ca="1"/>
        <v>503.84525233030763</v>
      </c>
      <c r="C16" s="134">
        <f ca="1"/>
        <v>126.813</v>
      </c>
      <c r="D16" s="134">
        <f ca="1"/>
        <v>25.187358493152001</v>
      </c>
      <c r="N16" s="137"/>
    </row>
    <row r="17" spans="1:18" x14ac:dyDescent="0.25">
      <c r="A17" s="133" t="s">
        <v>56</v>
      </c>
      <c r="B17" s="134">
        <f ca="1"/>
        <v>582.57670498605137</v>
      </c>
      <c r="C17" s="134">
        <f ca="1"/>
        <v>99.115250000000003</v>
      </c>
      <c r="D17" s="134">
        <f ca="1"/>
        <v>28.915838524356001</v>
      </c>
      <c r="N17" s="137"/>
    </row>
    <row r="18" spans="1:18" x14ac:dyDescent="0.25">
      <c r="A18" s="133" t="s">
        <v>57</v>
      </c>
      <c r="B18" s="134">
        <f ca="1"/>
        <v>694.01071579334644</v>
      </c>
      <c r="C18" s="134">
        <f ca="1"/>
        <v>69.379800000000003</v>
      </c>
      <c r="D18" s="134">
        <f ca="1"/>
        <v>25.413534264468002</v>
      </c>
      <c r="N18" s="137"/>
    </row>
    <row r="19" spans="1:18" x14ac:dyDescent="0.25">
      <c r="A19" s="133" t="s">
        <v>58</v>
      </c>
      <c r="B19" s="134">
        <f ca="1"/>
        <v>798.68050821832549</v>
      </c>
      <c r="C19" s="134">
        <f ca="1"/>
        <v>106.73165</v>
      </c>
      <c r="D19" s="134">
        <f ca="1"/>
        <v>21.045871043916001</v>
      </c>
      <c r="N19" s="137"/>
    </row>
    <row r="20" spans="1:18" x14ac:dyDescent="0.25">
      <c r="A20" s="133" t="s">
        <v>59</v>
      </c>
      <c r="B20" s="134">
        <f ca="1"/>
        <v>906.82632422647134</v>
      </c>
      <c r="C20" s="134">
        <f ca="1"/>
        <v>48.405460000000005</v>
      </c>
      <c r="D20" s="134">
        <f ca="1"/>
        <v>19.874624517840001</v>
      </c>
      <c r="N20" s="137"/>
    </row>
    <row r="21" spans="1:18" x14ac:dyDescent="0.25">
      <c r="A21" s="133" t="s">
        <v>60</v>
      </c>
      <c r="B21" s="134">
        <f ca="1"/>
        <v>1010.8867698187462</v>
      </c>
      <c r="C21" s="134">
        <f ca="1"/>
        <v>45.467469999999999</v>
      </c>
      <c r="D21" s="134">
        <f ca="1"/>
        <v>19.341221609291999</v>
      </c>
      <c r="N21" s="137"/>
    </row>
    <row r="22" spans="1:18" x14ac:dyDescent="0.25">
      <c r="A22" s="133" t="s">
        <v>61</v>
      </c>
      <c r="B22" s="134">
        <f ca="1"/>
        <v>994.06268327975511</v>
      </c>
      <c r="C22" s="134">
        <f ca="1"/>
        <v>53.857970000000002</v>
      </c>
      <c r="D22" s="134">
        <f ca="1"/>
        <v>22.536088782707999</v>
      </c>
      <c r="N22" s="137"/>
    </row>
    <row r="23" spans="1:18" x14ac:dyDescent="0.25">
      <c r="A23" s="133" t="s">
        <v>62</v>
      </c>
      <c r="B23" s="134">
        <f ca="1"/>
        <v>1053.3088123697798</v>
      </c>
      <c r="C23" s="134">
        <f ca="1"/>
        <v>47.561549999999997</v>
      </c>
      <c r="D23" s="134">
        <f ca="1"/>
        <v>22.837506235068002</v>
      </c>
      <c r="N23" s="137"/>
    </row>
    <row r="24" spans="1:18" x14ac:dyDescent="0.25">
      <c r="A24" s="133" t="s">
        <v>63</v>
      </c>
      <c r="B24" s="134">
        <f ca="1"/>
        <v>1182.573195492309</v>
      </c>
      <c r="C24" s="134">
        <f ca="1"/>
        <v>35.151732956845002</v>
      </c>
      <c r="D24" s="134">
        <f ca="1"/>
        <v>18.939779918304001</v>
      </c>
      <c r="N24" s="137"/>
    </row>
    <row r="25" spans="1:18" x14ac:dyDescent="0.25">
      <c r="A25" s="133" t="s">
        <v>64</v>
      </c>
      <c r="B25" s="134">
        <f ca="1"/>
        <v>1230.5579771767896</v>
      </c>
      <c r="C25" s="134">
        <f ca="1"/>
        <v>47.461606756948001</v>
      </c>
      <c r="D25" s="134">
        <f ca="1"/>
        <v>20.905156815840002</v>
      </c>
      <c r="N25" s="137"/>
    </row>
    <row r="26" spans="1:18" x14ac:dyDescent="0.25">
      <c r="A26" s="133" t="s">
        <v>65</v>
      </c>
      <c r="B26" s="134">
        <f ca="1"/>
        <v>1292.5618235902157</v>
      </c>
      <c r="C26" s="134">
        <f ca="1"/>
        <v>48.125254947890006</v>
      </c>
      <c r="D26" s="134">
        <f ca="1"/>
        <v>18.190856183459999</v>
      </c>
      <c r="N26" s="137"/>
    </row>
    <row r="27" spans="1:18" x14ac:dyDescent="0.25">
      <c r="A27" s="133">
        <v>2014</v>
      </c>
      <c r="B27" s="134">
        <f ca="1"/>
        <v>1315.8508340064323</v>
      </c>
      <c r="C27" s="134">
        <f ca="1"/>
        <v>73.409788143092001</v>
      </c>
      <c r="D27" s="134">
        <f ca="1"/>
        <v>16.806683468351999</v>
      </c>
      <c r="N27" s="137"/>
      <c r="R27" s="136"/>
    </row>
    <row r="28" spans="1:18" x14ac:dyDescent="0.25">
      <c r="A28" s="133" t="s">
        <v>66</v>
      </c>
      <c r="B28" s="134">
        <f ca="1"/>
        <v>1438.3162248880024</v>
      </c>
      <c r="C28" s="134">
        <f ca="1"/>
        <v>58.585213292696295</v>
      </c>
      <c r="D28" s="134">
        <f ca="1"/>
        <v>16.470457267619999</v>
      </c>
      <c r="N28" s="137"/>
      <c r="R28" s="136"/>
    </row>
    <row r="29" spans="1:18" x14ac:dyDescent="0.25">
      <c r="A29" s="133" t="s">
        <v>67</v>
      </c>
      <c r="B29" s="134">
        <f ca="1"/>
        <v>1573.8376405915872</v>
      </c>
      <c r="C29" s="134">
        <f ca="1"/>
        <v>48.691416228473997</v>
      </c>
      <c r="D29" s="134">
        <f ca="1"/>
        <v>17.368851441263999</v>
      </c>
      <c r="N29" s="137"/>
    </row>
    <row r="30" spans="1:18" x14ac:dyDescent="0.25">
      <c r="A30" s="133" t="s">
        <v>68</v>
      </c>
      <c r="B30" s="134">
        <f ca="1"/>
        <v>1673.3546250137917</v>
      </c>
      <c r="C30" s="134">
        <f ca="1"/>
        <v>60.457723450000003</v>
      </c>
      <c r="D30" s="134">
        <f ca="1"/>
        <v>14.795615867172</v>
      </c>
      <c r="N30" s="137"/>
    </row>
    <row r="31" spans="1:18" x14ac:dyDescent="0.25">
      <c r="A31" s="133" t="s">
        <v>69</v>
      </c>
      <c r="B31" s="134">
        <f ca="1"/>
        <v>1840.6391928115486</v>
      </c>
      <c r="C31" s="134">
        <f ca="1"/>
        <v>72.396164892824004</v>
      </c>
      <c r="D31" s="134">
        <f ca="1"/>
        <v>14.714656137876</v>
      </c>
      <c r="N31" s="137"/>
    </row>
    <row r="32" spans="1:18" x14ac:dyDescent="0.25">
      <c r="A32" s="133" t="s">
        <v>78</v>
      </c>
      <c r="B32" s="134">
        <f ca="1"/>
        <v>1734.0639951287981</v>
      </c>
      <c r="C32" s="134">
        <f ca="1"/>
        <v>89.13161389599999</v>
      </c>
      <c r="D32" s="134">
        <f ca="1"/>
        <v>15.708216288984001</v>
      </c>
      <c r="N32" s="137"/>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61487-BB8D-469D-BEC6-DD71369DB53B}">
  <sheetPr>
    <tabColor rgb="FF92D050"/>
  </sheetPr>
  <dimension ref="A1:AZ118"/>
  <sheetViews>
    <sheetView topLeftCell="A16" zoomScaleNormal="100" workbookViewId="0">
      <selection activeCell="D1" sqref="D1"/>
    </sheetView>
  </sheetViews>
  <sheetFormatPr defaultRowHeight="15" x14ac:dyDescent="0.25"/>
  <cols>
    <col min="1" max="1" width="11.140625" customWidth="1"/>
    <col min="2" max="2" width="10.7109375" customWidth="1"/>
    <col min="7" max="7" width="9.5703125" bestFit="1" customWidth="1"/>
    <col min="8" max="8" width="12.5703125" bestFit="1" customWidth="1"/>
    <col min="9" max="9" width="9.5703125" bestFit="1" customWidth="1"/>
    <col min="11" max="11" width="13.5703125" bestFit="1" customWidth="1"/>
    <col min="15" max="15" width="14.28515625" bestFit="1" customWidth="1"/>
    <col min="17" max="17" width="11" bestFit="1" customWidth="1"/>
    <col min="19" max="19" width="12.7109375" bestFit="1" customWidth="1"/>
    <col min="28" max="28" width="12" bestFit="1" customWidth="1"/>
    <col min="52" max="52" width="11.85546875" bestFit="1" customWidth="1"/>
  </cols>
  <sheetData>
    <row r="1" spans="1:5" s="11" customFormat="1" x14ac:dyDescent="0.25"/>
    <row r="2" spans="1:5" s="11" customFormat="1" ht="18.75" x14ac:dyDescent="0.3">
      <c r="A2" s="87" t="s">
        <v>105</v>
      </c>
      <c r="E2" s="17"/>
    </row>
    <row r="3" spans="1:5" s="11" customFormat="1" x14ac:dyDescent="0.25">
      <c r="A3" s="1" t="s">
        <v>71</v>
      </c>
    </row>
    <row r="4" spans="1:5" s="11" customFormat="1" x14ac:dyDescent="0.25">
      <c r="A4" s="3" t="s">
        <v>11</v>
      </c>
      <c r="B4">
        <f>MATCH(A4,'NZ emissions AR4'!B16:D16)</f>
        <v>2</v>
      </c>
    </row>
    <row r="5" spans="1:5" s="11" customFormat="1" x14ac:dyDescent="0.25"/>
    <row r="6" spans="1:5" s="11" customFormat="1" x14ac:dyDescent="0.25">
      <c r="A6" s="88" t="s">
        <v>28</v>
      </c>
    </row>
    <row r="7" spans="1:5" s="11" customFormat="1" x14ac:dyDescent="0.25">
      <c r="A7" s="89">
        <v>0.3</v>
      </c>
      <c r="B7" t="s">
        <v>73</v>
      </c>
    </row>
    <row r="8" spans="1:5" s="11" customFormat="1" x14ac:dyDescent="0.25"/>
    <row r="9" spans="1:5" s="11" customFormat="1" x14ac:dyDescent="0.25"/>
    <row r="10" spans="1:5" s="11" customFormat="1" ht="18.75" x14ac:dyDescent="0.3">
      <c r="A10" s="87" t="s">
        <v>106</v>
      </c>
    </row>
    <row r="11" spans="1:5" s="11" customFormat="1" x14ac:dyDescent="0.25">
      <c r="A11" s="88" t="s">
        <v>233</v>
      </c>
    </row>
    <row r="12" spans="1:5" s="11" customFormat="1" x14ac:dyDescent="0.25">
      <c r="A12" s="90">
        <f>SUM(B31:K31)</f>
        <v>595999.20526098646</v>
      </c>
      <c r="B12" s="17" t="s">
        <v>22</v>
      </c>
    </row>
    <row r="13" spans="1:5" s="11" customFormat="1" x14ac:dyDescent="0.25"/>
    <row r="14" spans="1:5" s="11" customFormat="1" x14ac:dyDescent="0.25">
      <c r="A14" s="1" t="s">
        <v>234</v>
      </c>
    </row>
    <row r="15" spans="1:5" s="11" customFormat="1" x14ac:dyDescent="0.25">
      <c r="A15" s="19" t="s">
        <v>235</v>
      </c>
      <c r="B15" s="19" t="s">
        <v>70</v>
      </c>
      <c r="C15" s="19" t="s">
        <v>224</v>
      </c>
    </row>
    <row r="16" spans="1:5" s="11" customFormat="1" x14ac:dyDescent="0.25">
      <c r="A16" s="90">
        <f ca="1">SUM(D93:M93)</f>
        <v>608494.80023502023</v>
      </c>
      <c r="B16" s="90">
        <f ca="1">AVERAGE(C16,A16)</f>
        <v>567700.79344604805</v>
      </c>
      <c r="C16" s="90">
        <f ca="1">SUM(D118:M118)</f>
        <v>526906.78665707586</v>
      </c>
      <c r="D16" s="11" t="s">
        <v>236</v>
      </c>
    </row>
    <row r="17" spans="1:29" s="11" customFormat="1" x14ac:dyDescent="0.25"/>
    <row r="18" spans="1:29" s="11" customFormat="1" x14ac:dyDescent="0.25">
      <c r="A18" s="88" t="s">
        <v>237</v>
      </c>
    </row>
    <row r="19" spans="1:29" s="11" customFormat="1" x14ac:dyDescent="0.25">
      <c r="B19" s="19" t="s">
        <v>235</v>
      </c>
      <c r="C19" s="19" t="s">
        <v>224</v>
      </c>
    </row>
    <row r="20" spans="1:29" s="11" customFormat="1" x14ac:dyDescent="0.25">
      <c r="A20" t="s">
        <v>0</v>
      </c>
      <c r="B20" s="34">
        <f>SUM(D78:M78)</f>
        <v>225253.97580580652</v>
      </c>
      <c r="C20" s="34">
        <f>SUM(D103:M103)</f>
        <v>190573.02199221493</v>
      </c>
      <c r="D20" t="s">
        <v>24</v>
      </c>
    </row>
    <row r="21" spans="1:29" s="11" customFormat="1" x14ac:dyDescent="0.25">
      <c r="A21" t="s">
        <v>1</v>
      </c>
      <c r="B21" s="34">
        <f>SUM(D79:M79)</f>
        <v>12366.728361347132</v>
      </c>
      <c r="C21" s="34">
        <f>SUM(D104:M104)</f>
        <v>10923.852410795344</v>
      </c>
      <c r="D21" s="11" t="s">
        <v>24</v>
      </c>
    </row>
    <row r="22" spans="1:29" s="11" customFormat="1" x14ac:dyDescent="0.25">
      <c r="A22" t="s">
        <v>2</v>
      </c>
      <c r="B22" s="34">
        <f>SUM(D80:M80)</f>
        <v>227.84653774759829</v>
      </c>
      <c r="C22" s="34">
        <f>SUM(D105:M105)</f>
        <v>193.99219776279557</v>
      </c>
      <c r="D22" s="11" t="s">
        <v>24</v>
      </c>
    </row>
    <row r="23" spans="1:29" s="11" customFormat="1" x14ac:dyDescent="0.25">
      <c r="A23" t="s">
        <v>72</v>
      </c>
      <c r="B23" s="34">
        <f>SUM(D81:M83)</f>
        <v>6174.3471467511263</v>
      </c>
      <c r="C23" s="34">
        <f>SUM(D106:M108)</f>
        <v>5427.7794616643787</v>
      </c>
      <c r="D23" t="s">
        <v>22</v>
      </c>
    </row>
    <row r="24" spans="1:29" s="11" customFormat="1" x14ac:dyDescent="0.25">
      <c r="A24"/>
      <c r="B24"/>
      <c r="C24"/>
      <c r="D24"/>
    </row>
    <row r="25" spans="1:29" s="11" customFormat="1" x14ac:dyDescent="0.25">
      <c r="A25"/>
      <c r="B25"/>
      <c r="D25"/>
    </row>
    <row r="26" spans="1:29" s="11" customFormat="1" ht="18.75" x14ac:dyDescent="0.3">
      <c r="A26" s="87" t="s">
        <v>249</v>
      </c>
    </row>
    <row r="27" spans="1:29" s="11" customFormat="1" x14ac:dyDescent="0.25"/>
    <row r="28" spans="1:29" s="11" customFormat="1" x14ac:dyDescent="0.25">
      <c r="A28" s="88" t="s">
        <v>252</v>
      </c>
      <c r="B28" s="17"/>
      <c r="C28" s="17"/>
      <c r="D28" s="17"/>
      <c r="E28" s="17"/>
      <c r="F28" s="17"/>
      <c r="G28" s="17"/>
      <c r="H28" s="17"/>
      <c r="I28" s="17"/>
      <c r="J28" s="17"/>
      <c r="K28" s="17"/>
    </row>
    <row r="29" spans="1:29" s="11" customFormat="1" x14ac:dyDescent="0.25">
      <c r="A29" s="17" t="s">
        <v>253</v>
      </c>
      <c r="B29" s="17"/>
      <c r="C29" s="17"/>
      <c r="D29" s="17"/>
      <c r="E29" s="17"/>
      <c r="F29" s="17"/>
      <c r="G29" s="17"/>
      <c r="H29" s="17"/>
      <c r="I29" s="17"/>
      <c r="J29" s="17"/>
      <c r="K29" s="17"/>
    </row>
    <row r="30" spans="1:29" x14ac:dyDescent="0.25">
      <c r="A30" s="17">
        <v>2020</v>
      </c>
      <c r="B30" s="17">
        <f>A30+1</f>
        <v>2021</v>
      </c>
      <c r="C30" s="17">
        <f t="shared" ref="C30:K30" si="0">B30+1</f>
        <v>2022</v>
      </c>
      <c r="D30" s="17">
        <f t="shared" si="0"/>
        <v>2023</v>
      </c>
      <c r="E30" s="17">
        <f t="shared" si="0"/>
        <v>2024</v>
      </c>
      <c r="F30" s="17">
        <f t="shared" si="0"/>
        <v>2025</v>
      </c>
      <c r="G30" s="17">
        <f t="shared" si="0"/>
        <v>2026</v>
      </c>
      <c r="H30" s="17">
        <f t="shared" si="0"/>
        <v>2027</v>
      </c>
      <c r="I30" s="17">
        <f t="shared" si="0"/>
        <v>2028</v>
      </c>
      <c r="J30" s="17">
        <f t="shared" si="0"/>
        <v>2029</v>
      </c>
      <c r="K30" s="17">
        <f t="shared" si="0"/>
        <v>2030</v>
      </c>
      <c r="Q30" s="17"/>
      <c r="R30" s="17"/>
      <c r="S30" s="17"/>
      <c r="T30" s="17"/>
      <c r="U30" s="17"/>
      <c r="V30" s="17"/>
      <c r="W30" s="17"/>
      <c r="X30" s="17"/>
      <c r="Y30" s="17"/>
      <c r="Z30" s="17"/>
      <c r="AA30" s="17"/>
      <c r="AB30" s="17"/>
      <c r="AC30" s="17"/>
    </row>
    <row r="31" spans="1:29" x14ac:dyDescent="0.25">
      <c r="A31" s="17">
        <f>(IF(B4=2,'NZ emissions AR4'!H2,IF(B4=3,'NZ emissions AR5'!H2)))*0.95</f>
        <v>61872.765189600446</v>
      </c>
      <c r="B31" s="17">
        <f t="shared" ref="B31:J31" si="1">A31-($A$31-$K$31)/10</f>
        <v>61459.520705327392</v>
      </c>
      <c r="C31" s="17">
        <f t="shared" si="1"/>
        <v>61046.276221054337</v>
      </c>
      <c r="D31" s="17">
        <f t="shared" si="1"/>
        <v>60633.031736781282</v>
      </c>
      <c r="E31" s="17">
        <f t="shared" si="1"/>
        <v>60219.787252508228</v>
      </c>
      <c r="F31" s="17">
        <f t="shared" si="1"/>
        <v>59806.542768235173</v>
      </c>
      <c r="G31" s="17">
        <f t="shared" si="1"/>
        <v>59393.298283962118</v>
      </c>
      <c r="H31" s="17">
        <f t="shared" si="1"/>
        <v>58980.053799689063</v>
      </c>
      <c r="I31" s="17">
        <f t="shared" si="1"/>
        <v>58566.809315416009</v>
      </c>
      <c r="J31" s="17">
        <f t="shared" si="1"/>
        <v>58153.564831142954</v>
      </c>
      <c r="K31" s="17">
        <f>(1-A7)*IF(B4=2,'NZ emissions AR4'!H17,IF(B4=3,'NZ emissions AR5'!H17))</f>
        <v>57740.320346869914</v>
      </c>
      <c r="Q31" s="17"/>
      <c r="S31" s="17"/>
      <c r="T31" s="17"/>
      <c r="U31" s="17"/>
      <c r="V31" s="17"/>
      <c r="W31" s="17"/>
      <c r="X31" s="17"/>
      <c r="Y31" s="17"/>
      <c r="Z31" s="17"/>
      <c r="AA31" s="17"/>
      <c r="AB31" s="88"/>
      <c r="AC31" s="17"/>
    </row>
    <row r="32" spans="1:29" x14ac:dyDescent="0.25">
      <c r="E32" s="17"/>
      <c r="Q32" s="17"/>
      <c r="AC32" s="17"/>
    </row>
    <row r="33" spans="1:29" x14ac:dyDescent="0.25">
      <c r="A33" s="88" t="s">
        <v>250</v>
      </c>
      <c r="B33" s="17"/>
      <c r="C33" s="17"/>
      <c r="D33" s="11"/>
      <c r="E33" s="17"/>
      <c r="Q33" s="17"/>
      <c r="AC33" s="17"/>
    </row>
    <row r="34" spans="1:29" x14ac:dyDescent="0.25">
      <c r="A34" s="17" t="s">
        <v>0</v>
      </c>
      <c r="B34" s="29">
        <f>'NZ emissions AR4'!M22</f>
        <v>35031.266478375284</v>
      </c>
      <c r="C34" s="17" t="s">
        <v>24</v>
      </c>
      <c r="D34" s="11"/>
      <c r="Q34" s="17"/>
      <c r="AC34" s="17"/>
    </row>
    <row r="35" spans="1:29" x14ac:dyDescent="0.25">
      <c r="A35" s="17" t="s">
        <v>1</v>
      </c>
      <c r="B35" s="17">
        <f>'NZ emissions AR4'!Q22/'NZ emissions AR4'!C18</f>
        <v>1380.7425364131943</v>
      </c>
      <c r="C35" s="17" t="s">
        <v>24</v>
      </c>
      <c r="D35" s="17"/>
      <c r="Q35" s="17"/>
      <c r="AC35" s="17"/>
    </row>
    <row r="36" spans="1:29" x14ac:dyDescent="0.25">
      <c r="A36" s="17" t="s">
        <v>2</v>
      </c>
      <c r="B36" s="17">
        <f>'NZ emissions AR4'!V22/'NZ emissions AR4'!C19</f>
        <v>25.647227261214152</v>
      </c>
      <c r="C36" s="17" t="s">
        <v>24</v>
      </c>
      <c r="D36" s="17"/>
      <c r="K36" s="2"/>
      <c r="Q36" s="17"/>
      <c r="R36" s="17"/>
      <c r="S36" s="17"/>
      <c r="T36" s="17"/>
      <c r="U36" s="17"/>
      <c r="V36" s="17"/>
      <c r="W36" s="17"/>
      <c r="X36" s="17"/>
      <c r="Y36" s="17"/>
      <c r="Z36" s="17"/>
      <c r="AA36" s="17"/>
      <c r="AB36" s="17"/>
      <c r="AC36" s="17"/>
    </row>
    <row r="37" spans="1:29" x14ac:dyDescent="0.25">
      <c r="A37" s="17" t="s">
        <v>9</v>
      </c>
      <c r="B37" s="30">
        <f>IF(B4=2,'NZ emissions AR4'!Z22,IF(B4=3,'NZ emissions AR5'!Z22))</f>
        <v>1053.3088123697455</v>
      </c>
      <c r="C37" s="17" t="s">
        <v>22</v>
      </c>
      <c r="D37" s="17"/>
    </row>
    <row r="38" spans="1:29" x14ac:dyDescent="0.25">
      <c r="A38" s="17" t="s">
        <v>10</v>
      </c>
      <c r="B38" s="29">
        <f>IF(B4=2,'NZ emissions AR4'!AD22,IF(B4=3,'NZ emissions AR5'!AD22))</f>
        <v>47.561549999999997</v>
      </c>
      <c r="C38" s="17" t="s">
        <v>22</v>
      </c>
      <c r="D38" s="17"/>
    </row>
    <row r="39" spans="1:29" x14ac:dyDescent="0.25">
      <c r="A39" s="17" t="s">
        <v>75</v>
      </c>
      <c r="B39" s="29">
        <f>IF(B4=2,'NZ emissions AR4'!AH22,IF(B4=3,'NZ emissions AR5'!AH22))</f>
        <v>22.837506235068002</v>
      </c>
      <c r="C39" s="17" t="s">
        <v>22</v>
      </c>
      <c r="D39" s="17"/>
      <c r="R39" s="5"/>
    </row>
    <row r="40" spans="1:29" x14ac:dyDescent="0.25">
      <c r="D40" s="17"/>
    </row>
    <row r="41" spans="1:29" x14ac:dyDescent="0.25">
      <c r="A41" s="88" t="s">
        <v>251</v>
      </c>
      <c r="D41" s="18"/>
      <c r="L41" s="17"/>
    </row>
    <row r="42" spans="1:29" x14ac:dyDescent="0.25">
      <c r="A42" s="17" t="s">
        <v>0</v>
      </c>
      <c r="B42" s="17">
        <f>0.95*'NZ emissions AR4'!M2</f>
        <v>24366.843650481784</v>
      </c>
      <c r="C42" s="17" t="s">
        <v>24</v>
      </c>
      <c r="D42" s="18"/>
      <c r="L42" s="17"/>
    </row>
    <row r="43" spans="1:29" x14ac:dyDescent="0.25">
      <c r="A43" s="17" t="s">
        <v>1</v>
      </c>
      <c r="B43" s="17">
        <f>0.95*'NZ emissions AR4'!Q2/'NZ emissions AR4'!C18</f>
        <v>1246.2208101343429</v>
      </c>
      <c r="C43" s="17" t="s">
        <v>24</v>
      </c>
      <c r="D43" s="17"/>
      <c r="L43" s="17"/>
    </row>
    <row r="44" spans="1:29" x14ac:dyDescent="0.25">
      <c r="A44" s="17" t="s">
        <v>2</v>
      </c>
      <c r="B44" s="17">
        <f>0.95*'NZ emissions AR4'!V2/'NZ emissions AR4'!C19</f>
        <v>18.345554513960028</v>
      </c>
      <c r="C44" s="17" t="s">
        <v>24</v>
      </c>
      <c r="D44" s="17"/>
      <c r="L44" s="17"/>
    </row>
    <row r="45" spans="1:29" x14ac:dyDescent="0.25">
      <c r="A45" s="17" t="s">
        <v>9</v>
      </c>
      <c r="B45" s="17">
        <f>0.95*IF(B4=2,'NZ emissions AR5'!Z2,IF(B4=3,'NZ emissions AR5'!Z2))</f>
        <v>0</v>
      </c>
      <c r="C45" s="17" t="s">
        <v>22</v>
      </c>
      <c r="D45" s="17"/>
      <c r="L45" s="17"/>
    </row>
    <row r="46" spans="1:29" x14ac:dyDescent="0.25">
      <c r="A46" s="17" t="s">
        <v>10</v>
      </c>
      <c r="B46" s="17">
        <f>0.95*IF(B4=2,'NZ emissions AR4'!AD2,IF(B4=3,'NZ emissions AR5'!AD2))</f>
        <v>864.4518806000001</v>
      </c>
      <c r="C46" s="17" t="s">
        <v>22</v>
      </c>
      <c r="D46" s="17"/>
      <c r="L46" s="17"/>
    </row>
    <row r="47" spans="1:29" x14ac:dyDescent="0.25">
      <c r="A47" s="17" t="s">
        <v>75</v>
      </c>
      <c r="B47" s="17">
        <f>0.95*IF(B4=2,'NZ emissions AR4'!AH2,IF(B4=3,'NZ emissions AR5'!AH2))</f>
        <v>18.974159999999998</v>
      </c>
      <c r="C47" s="17" t="s">
        <v>22</v>
      </c>
      <c r="D47" s="18"/>
      <c r="L47" s="18"/>
    </row>
    <row r="48" spans="1:29" x14ac:dyDescent="0.25">
      <c r="L48" s="18"/>
    </row>
    <row r="49" spans="1:52" x14ac:dyDescent="0.25">
      <c r="A49" s="91"/>
      <c r="B49" s="91"/>
      <c r="C49" s="91"/>
      <c r="D49" s="91"/>
      <c r="E49" s="91"/>
      <c r="F49" s="91"/>
      <c r="L49" s="18"/>
      <c r="M49" s="91"/>
    </row>
    <row r="50" spans="1:52" x14ac:dyDescent="0.25">
      <c r="A50" s="91"/>
      <c r="B50" s="91"/>
      <c r="C50" s="91"/>
      <c r="D50" s="91"/>
      <c r="E50" s="91"/>
      <c r="F50" s="91"/>
      <c r="G50" s="91"/>
      <c r="H50" s="91"/>
      <c r="I50" s="91"/>
      <c r="J50" s="91"/>
      <c r="K50" s="91"/>
      <c r="L50" s="91"/>
      <c r="M50" s="91"/>
    </row>
    <row r="51" spans="1:52" x14ac:dyDescent="0.25">
      <c r="A51" s="17"/>
      <c r="B51" s="94"/>
      <c r="C51" s="94"/>
      <c r="D51" s="94"/>
      <c r="E51" s="94"/>
      <c r="F51" s="95"/>
      <c r="G51" s="94"/>
      <c r="H51" s="91"/>
      <c r="I51" s="91"/>
      <c r="J51" s="91"/>
      <c r="K51" s="91"/>
      <c r="L51" s="91"/>
      <c r="M51" s="91"/>
      <c r="AZ51" s="4"/>
    </row>
    <row r="52" spans="1:52" x14ac:dyDescent="0.25">
      <c r="A52" s="17"/>
      <c r="C52" s="17"/>
      <c r="D52" s="17"/>
      <c r="E52" s="17"/>
      <c r="F52" s="17"/>
      <c r="G52" s="96"/>
      <c r="H52" s="91"/>
      <c r="I52" s="91"/>
      <c r="J52" s="91"/>
      <c r="K52" s="91"/>
      <c r="L52" s="91"/>
      <c r="M52" s="91"/>
      <c r="R52" s="5"/>
      <c r="AB52" s="5"/>
      <c r="AZ52" s="4"/>
    </row>
    <row r="53" spans="1:52" x14ac:dyDescent="0.25">
      <c r="A53" s="17"/>
      <c r="B53" s="17"/>
      <c r="C53" s="17"/>
      <c r="D53" s="17"/>
      <c r="E53" s="17"/>
      <c r="F53" s="17"/>
      <c r="G53" s="96"/>
      <c r="H53" s="91"/>
      <c r="I53" s="91"/>
      <c r="J53" s="92"/>
      <c r="K53" s="91"/>
      <c r="L53" s="91"/>
      <c r="M53" s="91"/>
      <c r="AZ53" s="4"/>
    </row>
    <row r="54" spans="1:52" x14ac:dyDescent="0.25">
      <c r="A54" s="88" t="s">
        <v>254</v>
      </c>
      <c r="B54" s="17"/>
      <c r="C54" s="17"/>
      <c r="D54" s="17"/>
      <c r="E54" s="17"/>
      <c r="F54" s="17"/>
      <c r="G54" s="94"/>
      <c r="H54" s="91"/>
      <c r="I54" s="91"/>
      <c r="J54" s="91"/>
      <c r="K54" s="91"/>
      <c r="L54" s="91"/>
      <c r="M54" s="91"/>
      <c r="N54" s="17"/>
      <c r="O54" s="17"/>
      <c r="AZ54" s="4"/>
    </row>
    <row r="55" spans="1:52" x14ac:dyDescent="0.25">
      <c r="A55" s="17"/>
      <c r="B55" s="17">
        <v>2030</v>
      </c>
      <c r="C55" s="17">
        <v>2040</v>
      </c>
      <c r="D55" s="17">
        <v>2050</v>
      </c>
      <c r="E55" s="17"/>
      <c r="F55" s="17"/>
      <c r="G55" s="94"/>
      <c r="H55" s="91"/>
      <c r="I55" s="91"/>
      <c r="J55" s="91"/>
      <c r="K55" s="91"/>
      <c r="L55" s="91"/>
      <c r="M55" s="91"/>
      <c r="AZ55" s="4"/>
    </row>
    <row r="56" spans="1:52" x14ac:dyDescent="0.25">
      <c r="A56" s="17" t="s">
        <v>0</v>
      </c>
      <c r="B56" s="21">
        <f>B34*(100+'IPCC modelled reductions'!E3)/100</f>
        <v>21018.759887025171</v>
      </c>
      <c r="C56" s="17">
        <f>AVERAGE(B56,D56)</f>
        <v>11560.317937863845</v>
      </c>
      <c r="D56" s="17">
        <f>B34*(100+'IPCC modelled reductions'!E4)/100</f>
        <v>2101.8759887025171</v>
      </c>
      <c r="E56" s="17" t="s">
        <v>24</v>
      </c>
      <c r="F56" s="17"/>
      <c r="G56" s="94"/>
      <c r="H56" s="91"/>
      <c r="I56" s="91"/>
      <c r="J56" s="91"/>
      <c r="K56" s="93"/>
      <c r="L56" s="91"/>
      <c r="M56" s="91"/>
      <c r="AZ56" s="4"/>
    </row>
    <row r="57" spans="1:52" x14ac:dyDescent="0.25">
      <c r="A57" s="17" t="s">
        <v>1</v>
      </c>
      <c r="B57" s="17">
        <f>B35*(100+'IPCC modelled reductions'!E5)/100</f>
        <v>1228.860857407743</v>
      </c>
      <c r="C57" s="17">
        <f>AVERAGE(B57,D57)</f>
        <v>1139.1125925408853</v>
      </c>
      <c r="D57" s="17">
        <f>B35*(100+'IPCC modelled reductions'!E6)/100</f>
        <v>1049.3643276740277</v>
      </c>
      <c r="E57" s="17" t="s">
        <v>24</v>
      </c>
      <c r="F57" s="17"/>
      <c r="G57" s="94"/>
      <c r="H57" s="91"/>
      <c r="I57" s="91"/>
      <c r="J57" s="91"/>
      <c r="K57" s="91"/>
      <c r="L57" s="91"/>
      <c r="M57" s="91"/>
      <c r="AZ57" s="4"/>
    </row>
    <row r="58" spans="1:52" x14ac:dyDescent="0.25">
      <c r="A58" s="17" t="s">
        <v>2</v>
      </c>
      <c r="B58" s="17">
        <f>B36*(100+'IPCC modelled reductions'!E7)/100</f>
        <v>26.416644079050574</v>
      </c>
      <c r="C58" s="17">
        <f>AVERAGE(B58,D58)</f>
        <v>26.160171806438434</v>
      </c>
      <c r="D58" s="17">
        <f>B36*(100+'IPCC modelled reductions'!E8)/100</f>
        <v>25.903699533826295</v>
      </c>
      <c r="E58" s="17" t="s">
        <v>24</v>
      </c>
      <c r="F58" s="17"/>
      <c r="G58" s="94"/>
      <c r="H58" s="91"/>
      <c r="I58" s="91"/>
      <c r="J58" s="91"/>
      <c r="K58" s="91"/>
      <c r="L58" s="91"/>
      <c r="M58" s="91"/>
      <c r="AZ58" s="4"/>
    </row>
    <row r="59" spans="1:52" x14ac:dyDescent="0.25">
      <c r="A59" s="17" t="s">
        <v>9</v>
      </c>
      <c r="B59" s="17">
        <f>B37*(100+'IPCC modelled reductions'!E9)/100</f>
        <v>368.65808432941094</v>
      </c>
      <c r="C59" s="17">
        <f t="shared" ref="C59:C61" si="2">AVERAGE(B59,D59)</f>
        <v>300.19301152537747</v>
      </c>
      <c r="D59" s="17">
        <f>B37*(100+'IPCC modelled reductions'!E10)/100</f>
        <v>231.727938721344</v>
      </c>
      <c r="E59" s="17" t="s">
        <v>22</v>
      </c>
      <c r="F59" s="18"/>
      <c r="G59" s="94"/>
      <c r="H59" s="91"/>
      <c r="I59" s="91"/>
      <c r="J59" s="91"/>
      <c r="K59" s="91"/>
      <c r="L59" s="91"/>
      <c r="M59" s="91"/>
      <c r="AZ59" s="4"/>
    </row>
    <row r="60" spans="1:52" s="11" customFormat="1" x14ac:dyDescent="0.25">
      <c r="A60" s="17" t="s">
        <v>10</v>
      </c>
      <c r="B60" s="17">
        <f>B38*(100+'IPCC modelled reductions'!E11)/100</f>
        <v>19.500235499999999</v>
      </c>
      <c r="C60" s="17">
        <f t="shared" si="2"/>
        <v>13.792849499999999</v>
      </c>
      <c r="D60" s="17">
        <f>B38*(100+'IPCC modelled reductions'!E12)/100</f>
        <v>8.0854634999999995</v>
      </c>
      <c r="E60" s="17" t="s">
        <v>22</v>
      </c>
      <c r="F60" s="18"/>
      <c r="G60" s="94"/>
      <c r="H60" s="91"/>
      <c r="I60" s="91"/>
      <c r="J60" s="91"/>
      <c r="K60" s="91"/>
      <c r="L60" s="91"/>
      <c r="M60" s="91"/>
      <c r="AZ60" s="4"/>
    </row>
    <row r="61" spans="1:52" s="11" customFormat="1" x14ac:dyDescent="0.25">
      <c r="A61" s="17" t="s">
        <v>75</v>
      </c>
      <c r="B61" s="17">
        <f>B39*(100+'IPCC modelled reductions'!E13)/100</f>
        <v>11.64712817988468</v>
      </c>
      <c r="C61" s="17">
        <f t="shared" si="2"/>
        <v>8.7924399005011793</v>
      </c>
      <c r="D61" s="17">
        <f>B39*(100+'IPCC modelled reductions'!E14)/100</f>
        <v>5.9377516211176804</v>
      </c>
      <c r="E61" s="17" t="s">
        <v>22</v>
      </c>
      <c r="F61" s="18"/>
      <c r="G61" s="94"/>
      <c r="H61" s="91"/>
      <c r="I61" s="91"/>
      <c r="J61" s="91"/>
      <c r="K61" s="91"/>
      <c r="L61" s="91"/>
      <c r="M61" s="91"/>
      <c r="AZ61" s="4"/>
    </row>
    <row r="62" spans="1:52" s="11" customFormat="1" x14ac:dyDescent="0.25">
      <c r="A62" s="94"/>
      <c r="B62" s="94"/>
      <c r="C62" s="94"/>
      <c r="D62" s="94"/>
      <c r="E62" s="94"/>
      <c r="F62" s="94"/>
      <c r="G62" s="94"/>
      <c r="H62" s="91"/>
      <c r="I62" s="91"/>
      <c r="J62" s="91"/>
      <c r="K62" s="91"/>
      <c r="L62" s="91"/>
      <c r="M62" s="91"/>
      <c r="AZ62" s="4"/>
    </row>
    <row r="63" spans="1:52" x14ac:dyDescent="0.25">
      <c r="A63" s="17"/>
      <c r="C63" s="17"/>
      <c r="D63" s="17"/>
      <c r="E63" s="17"/>
      <c r="F63" s="91"/>
      <c r="G63" s="91"/>
      <c r="H63" s="91"/>
      <c r="I63" s="91"/>
      <c r="J63" s="91"/>
      <c r="K63" s="91"/>
      <c r="L63" s="91"/>
      <c r="M63" s="91"/>
    </row>
    <row r="64" spans="1:52" x14ac:dyDescent="0.25">
      <c r="A64" s="88" t="s">
        <v>255</v>
      </c>
      <c r="B64" s="17"/>
      <c r="C64" s="17"/>
      <c r="D64" s="17"/>
      <c r="E64" s="17"/>
      <c r="F64" s="91"/>
      <c r="G64" s="91"/>
      <c r="H64" s="91"/>
      <c r="I64" s="91"/>
      <c r="J64" s="91"/>
      <c r="K64" s="91"/>
      <c r="L64" s="93"/>
      <c r="M64" s="91"/>
    </row>
    <row r="65" spans="1:33" x14ac:dyDescent="0.25">
      <c r="A65" s="17"/>
      <c r="B65" s="17">
        <v>2030</v>
      </c>
      <c r="C65" s="17">
        <v>2040</v>
      </c>
      <c r="D65" s="17">
        <v>2050</v>
      </c>
      <c r="E65" s="17"/>
      <c r="F65" s="91"/>
      <c r="G65" s="91"/>
      <c r="H65" s="91"/>
      <c r="I65" s="91"/>
      <c r="J65" s="91"/>
      <c r="K65" s="91"/>
      <c r="L65" s="91"/>
      <c r="M65" s="91"/>
    </row>
    <row r="66" spans="1:33" x14ac:dyDescent="0.25">
      <c r="A66" s="17" t="s">
        <v>0</v>
      </c>
      <c r="B66" s="17">
        <f>B34*(100+'IPCC modelled reductions'!D3)/100</f>
        <v>14713.131920917618</v>
      </c>
      <c r="C66" s="17">
        <f>AVERAGE(B66,D66)</f>
        <v>6130.4716337156742</v>
      </c>
      <c r="D66" s="17">
        <f>B34*(100+'IPCC modelled reductions'!D4)/100</f>
        <v>-2452.1886534862697</v>
      </c>
      <c r="E66" s="17" t="s">
        <v>24</v>
      </c>
      <c r="F66" s="91"/>
      <c r="G66" s="91"/>
      <c r="H66" s="91"/>
      <c r="I66" s="91"/>
      <c r="J66" s="91"/>
      <c r="K66" s="91"/>
      <c r="L66" s="91"/>
      <c r="M66" s="91"/>
    </row>
    <row r="67" spans="1:33" x14ac:dyDescent="0.25">
      <c r="A67" s="17" t="s">
        <v>1</v>
      </c>
      <c r="B67" s="17">
        <f>B35*(100+'IPCC modelled reductions'!D5)/100</f>
        <v>966.51977548923605</v>
      </c>
      <c r="C67" s="17">
        <f>AVERAGE(B67,D67)</f>
        <v>849.15665989411445</v>
      </c>
      <c r="D67" s="17">
        <f>B35*(100+'IPCC modelled reductions'!D6)/100</f>
        <v>731.79354429899297</v>
      </c>
      <c r="E67" s="17" t="s">
        <v>24</v>
      </c>
      <c r="F67" s="91"/>
      <c r="G67" s="91"/>
      <c r="H67" s="91"/>
      <c r="I67" s="91"/>
      <c r="J67" s="91"/>
      <c r="K67" s="91"/>
      <c r="L67" s="91"/>
      <c r="M67" s="91"/>
      <c r="O67" s="11"/>
    </row>
    <row r="68" spans="1:33" x14ac:dyDescent="0.25">
      <c r="A68" s="17" t="s">
        <v>2</v>
      </c>
      <c r="B68" s="17">
        <f>B36*(100+'IPCC modelled reductions'!D7)/100</f>
        <v>20.261309536359178</v>
      </c>
      <c r="C68" s="17">
        <f>AVERAGE(B68,D68)</f>
        <v>19.620128854828828</v>
      </c>
      <c r="D68" s="17">
        <f>B36*(100+'IPCC modelled reductions'!D8)/100</f>
        <v>18.978948173298473</v>
      </c>
      <c r="E68" s="17" t="s">
        <v>24</v>
      </c>
      <c r="F68" s="91"/>
      <c r="G68" s="91"/>
      <c r="H68" s="91"/>
      <c r="I68" s="91"/>
      <c r="J68" s="91"/>
      <c r="K68" s="91"/>
      <c r="L68" s="91"/>
      <c r="M68" s="91"/>
      <c r="O68" s="11"/>
    </row>
    <row r="69" spans="1:33" x14ac:dyDescent="0.25">
      <c r="A69" s="17" t="s">
        <v>9</v>
      </c>
      <c r="B69" s="17">
        <f>B37*(100+'IPCC modelled reductions'!D9)/100</f>
        <v>242.26102684504144</v>
      </c>
      <c r="C69" s="17">
        <f t="shared" ref="C69:C71" si="3">AVERAGE(B69,D69)</f>
        <v>173.795954041008</v>
      </c>
      <c r="D69" s="17">
        <f>B37*(100+'IPCC modelled reductions'!D10)/100</f>
        <v>105.33088123697455</v>
      </c>
      <c r="E69" s="17" t="s">
        <v>22</v>
      </c>
      <c r="H69" s="91"/>
      <c r="I69" s="91"/>
      <c r="J69" s="91"/>
      <c r="O69" s="11"/>
    </row>
    <row r="70" spans="1:33" x14ac:dyDescent="0.25">
      <c r="A70" s="17" t="s">
        <v>10</v>
      </c>
      <c r="B70" s="17">
        <f>B38*(100+'IPCC modelled reductions'!D11)/100</f>
        <v>14.268464999999999</v>
      </c>
      <c r="C70" s="17">
        <f t="shared" si="3"/>
        <v>8.5610789999999994</v>
      </c>
      <c r="D70" s="17">
        <f>B38*(100+'IPCC modelled reductions'!D12)/100</f>
        <v>2.8536929999999994</v>
      </c>
      <c r="E70" s="17" t="s">
        <v>22</v>
      </c>
      <c r="H70" s="91"/>
      <c r="I70" s="91"/>
      <c r="J70" s="91"/>
    </row>
    <row r="71" spans="1:33" x14ac:dyDescent="0.25">
      <c r="A71" s="94" t="s">
        <v>75</v>
      </c>
      <c r="B71" s="94">
        <f>B39*(100+'IPCC modelled reductions'!D13)/100</f>
        <v>7.53637705757244</v>
      </c>
      <c r="C71" s="94">
        <f t="shared" si="3"/>
        <v>6.0519391522930199</v>
      </c>
      <c r="D71" s="94">
        <f>B39*(100+'IPCC modelled reductions'!D14)/100</f>
        <v>4.5675012470136007</v>
      </c>
      <c r="E71" s="94" t="s">
        <v>22</v>
      </c>
      <c r="H71" s="91"/>
      <c r="I71" s="91"/>
      <c r="J71" s="91"/>
      <c r="K71" s="11"/>
      <c r="L71" s="11"/>
    </row>
    <row r="72" spans="1:33" x14ac:dyDescent="0.25">
      <c r="H72" s="91"/>
      <c r="I72" s="91"/>
      <c r="J72" s="91"/>
      <c r="K72" s="11"/>
      <c r="L72" s="11"/>
    </row>
    <row r="73" spans="1:33" x14ac:dyDescent="0.25">
      <c r="E73" s="1"/>
      <c r="G73" s="19"/>
      <c r="H73" s="91"/>
      <c r="I73" s="91"/>
      <c r="J73" s="91"/>
      <c r="K73" s="11"/>
      <c r="L73" s="11"/>
    </row>
    <row r="74" spans="1:33" x14ac:dyDescent="0.25">
      <c r="H74" s="91"/>
      <c r="I74" s="91"/>
      <c r="J74" s="91"/>
      <c r="O74" s="85"/>
    </row>
    <row r="75" spans="1:33" x14ac:dyDescent="0.25">
      <c r="A75" s="1" t="s">
        <v>190</v>
      </c>
    </row>
    <row r="76" spans="1:33" x14ac:dyDescent="0.25">
      <c r="A76" s="17"/>
      <c r="B76" s="17"/>
      <c r="C76" t="s">
        <v>102</v>
      </c>
    </row>
    <row r="77" spans="1:33" x14ac:dyDescent="0.25">
      <c r="B77" s="17"/>
      <c r="C77" s="17">
        <v>2020</v>
      </c>
      <c r="D77">
        <f>C77+1</f>
        <v>2021</v>
      </c>
      <c r="E77">
        <f t="shared" ref="E77:AG77" si="4">D77+1</f>
        <v>2022</v>
      </c>
      <c r="F77">
        <f t="shared" si="4"/>
        <v>2023</v>
      </c>
      <c r="G77">
        <f t="shared" si="4"/>
        <v>2024</v>
      </c>
      <c r="H77">
        <f t="shared" si="4"/>
        <v>2025</v>
      </c>
      <c r="I77">
        <f t="shared" si="4"/>
        <v>2026</v>
      </c>
      <c r="J77">
        <f t="shared" si="4"/>
        <v>2027</v>
      </c>
      <c r="K77">
        <f t="shared" si="4"/>
        <v>2028</v>
      </c>
      <c r="L77">
        <f t="shared" si="4"/>
        <v>2029</v>
      </c>
      <c r="M77">
        <f t="shared" si="4"/>
        <v>2030</v>
      </c>
      <c r="N77">
        <f t="shared" si="4"/>
        <v>2031</v>
      </c>
      <c r="O77">
        <f t="shared" si="4"/>
        <v>2032</v>
      </c>
      <c r="P77">
        <f t="shared" si="4"/>
        <v>2033</v>
      </c>
      <c r="Q77">
        <f t="shared" si="4"/>
        <v>2034</v>
      </c>
      <c r="R77">
        <f t="shared" si="4"/>
        <v>2035</v>
      </c>
      <c r="S77">
        <f t="shared" si="4"/>
        <v>2036</v>
      </c>
      <c r="T77">
        <f t="shared" si="4"/>
        <v>2037</v>
      </c>
      <c r="U77">
        <f t="shared" si="4"/>
        <v>2038</v>
      </c>
      <c r="V77">
        <f t="shared" si="4"/>
        <v>2039</v>
      </c>
      <c r="W77">
        <f t="shared" si="4"/>
        <v>2040</v>
      </c>
      <c r="X77">
        <f t="shared" si="4"/>
        <v>2041</v>
      </c>
      <c r="Y77">
        <f t="shared" si="4"/>
        <v>2042</v>
      </c>
      <c r="Z77">
        <f t="shared" si="4"/>
        <v>2043</v>
      </c>
      <c r="AA77">
        <f t="shared" si="4"/>
        <v>2044</v>
      </c>
      <c r="AB77">
        <f t="shared" si="4"/>
        <v>2045</v>
      </c>
      <c r="AC77">
        <f t="shared" si="4"/>
        <v>2046</v>
      </c>
      <c r="AD77">
        <f t="shared" si="4"/>
        <v>2047</v>
      </c>
      <c r="AE77">
        <f t="shared" si="4"/>
        <v>2048</v>
      </c>
      <c r="AF77">
        <f t="shared" si="4"/>
        <v>2049</v>
      </c>
      <c r="AG77">
        <f t="shared" si="4"/>
        <v>2050</v>
      </c>
    </row>
    <row r="78" spans="1:33" x14ac:dyDescent="0.25">
      <c r="A78" t="s">
        <v>24</v>
      </c>
      <c r="B78" t="s">
        <v>0</v>
      </c>
      <c r="C78" s="8">
        <f t="shared" ref="C78:C83" si="5">B42</f>
        <v>24366.843650481784</v>
      </c>
      <c r="D78">
        <f t="shared" ref="D78:L78" si="6">C78+($M78-$C78)/($M$77-$C$77)</f>
        <v>24032.035274136124</v>
      </c>
      <c r="E78">
        <f t="shared" si="6"/>
        <v>23697.226897790464</v>
      </c>
      <c r="F78">
        <f t="shared" si="6"/>
        <v>23362.418521444804</v>
      </c>
      <c r="G78">
        <f t="shared" si="6"/>
        <v>23027.610145099145</v>
      </c>
      <c r="H78">
        <f t="shared" si="6"/>
        <v>22692.801768753485</v>
      </c>
      <c r="I78">
        <f t="shared" si="6"/>
        <v>22357.993392407825</v>
      </c>
      <c r="J78">
        <f t="shared" si="6"/>
        <v>22023.185016062165</v>
      </c>
      <c r="K78">
        <f t="shared" si="6"/>
        <v>21688.376639716505</v>
      </c>
      <c r="L78">
        <f t="shared" si="6"/>
        <v>21353.568263370846</v>
      </c>
      <c r="M78" s="8">
        <f t="shared" ref="M78:M83" si="7">B56</f>
        <v>21018.759887025171</v>
      </c>
      <c r="N78">
        <f t="shared" ref="N78:AF78" si="8">M78+($AG78-$M78)/($AG$77-$M$77)</f>
        <v>20072.91569210904</v>
      </c>
      <c r="O78">
        <f t="shared" si="8"/>
        <v>19127.071497192908</v>
      </c>
      <c r="P78">
        <f t="shared" si="8"/>
        <v>18181.227302276777</v>
      </c>
      <c r="Q78">
        <f t="shared" si="8"/>
        <v>17235.383107360645</v>
      </c>
      <c r="R78">
        <f t="shared" si="8"/>
        <v>16289.538912444512</v>
      </c>
      <c r="S78">
        <f t="shared" si="8"/>
        <v>15343.694717528379</v>
      </c>
      <c r="T78">
        <f t="shared" si="8"/>
        <v>14397.850522612245</v>
      </c>
      <c r="U78">
        <f t="shared" si="8"/>
        <v>13452.006327696112</v>
      </c>
      <c r="V78">
        <f t="shared" si="8"/>
        <v>12506.162132779978</v>
      </c>
      <c r="W78">
        <f t="shared" si="8"/>
        <v>11560.317937863845</v>
      </c>
      <c r="X78">
        <f t="shared" si="8"/>
        <v>10614.473742947712</v>
      </c>
      <c r="Y78">
        <f t="shared" si="8"/>
        <v>9668.6295480315785</v>
      </c>
      <c r="Z78">
        <f t="shared" si="8"/>
        <v>8722.7853531154451</v>
      </c>
      <c r="AA78">
        <f t="shared" si="8"/>
        <v>7776.9411581993127</v>
      </c>
      <c r="AB78">
        <f t="shared" si="8"/>
        <v>6831.0969632831802</v>
      </c>
      <c r="AC78">
        <f t="shared" si="8"/>
        <v>5885.2527683670478</v>
      </c>
      <c r="AD78">
        <f t="shared" si="8"/>
        <v>4939.4085734509154</v>
      </c>
      <c r="AE78">
        <f t="shared" si="8"/>
        <v>3993.5643785347829</v>
      </c>
      <c r="AF78">
        <f t="shared" si="8"/>
        <v>3047.7201836186505</v>
      </c>
      <c r="AG78">
        <f t="shared" ref="AG78:AG83" si="9">D56</f>
        <v>2101.8759887025171</v>
      </c>
    </row>
    <row r="79" spans="1:33" x14ac:dyDescent="0.25">
      <c r="A79" t="s">
        <v>24</v>
      </c>
      <c r="B79" t="s">
        <v>1</v>
      </c>
      <c r="C79">
        <f t="shared" si="5"/>
        <v>1246.2208101343429</v>
      </c>
      <c r="D79">
        <f t="shared" ref="D79:L79" si="10">C79+($M79-$C79)/($M$77-$C$77)</f>
        <v>1244.4848148616829</v>
      </c>
      <c r="E79">
        <f t="shared" si="10"/>
        <v>1242.748819589023</v>
      </c>
      <c r="F79">
        <f t="shared" si="10"/>
        <v>1241.0128243163631</v>
      </c>
      <c r="G79">
        <f t="shared" si="10"/>
        <v>1239.2768290437032</v>
      </c>
      <c r="H79">
        <f t="shared" si="10"/>
        <v>1237.5408337710433</v>
      </c>
      <c r="I79">
        <f t="shared" si="10"/>
        <v>1235.8048384983833</v>
      </c>
      <c r="J79">
        <f t="shared" si="10"/>
        <v>1234.0688432257234</v>
      </c>
      <c r="K79">
        <f t="shared" si="10"/>
        <v>1232.3328479530635</v>
      </c>
      <c r="L79">
        <f t="shared" si="10"/>
        <v>1230.5968526804036</v>
      </c>
      <c r="M79">
        <f t="shared" si="7"/>
        <v>1228.860857407743</v>
      </c>
      <c r="N79">
        <f t="shared" ref="N79:AF79" si="11">M79+($AG79-$M79)/($AG$77-$M$77)</f>
        <v>1219.8860309210572</v>
      </c>
      <c r="O79">
        <f t="shared" si="11"/>
        <v>1210.9112044343715</v>
      </c>
      <c r="P79">
        <f t="shared" si="11"/>
        <v>1201.9363779476857</v>
      </c>
      <c r="Q79">
        <f t="shared" si="11"/>
        <v>1192.961551461</v>
      </c>
      <c r="R79">
        <f t="shared" si="11"/>
        <v>1183.9867249743143</v>
      </c>
      <c r="S79">
        <f t="shared" si="11"/>
        <v>1175.0118984876285</v>
      </c>
      <c r="T79">
        <f t="shared" si="11"/>
        <v>1166.0370720009428</v>
      </c>
      <c r="U79">
        <f t="shared" si="11"/>
        <v>1157.062245514257</v>
      </c>
      <c r="V79">
        <f t="shared" si="11"/>
        <v>1148.0874190275713</v>
      </c>
      <c r="W79">
        <f t="shared" si="11"/>
        <v>1139.1125925408855</v>
      </c>
      <c r="X79">
        <f t="shared" si="11"/>
        <v>1130.1377660541998</v>
      </c>
      <c r="Y79">
        <f t="shared" si="11"/>
        <v>1121.1629395675141</v>
      </c>
      <c r="Z79">
        <f t="shared" si="11"/>
        <v>1112.1881130808283</v>
      </c>
      <c r="AA79">
        <f t="shared" si="11"/>
        <v>1103.2132865941426</v>
      </c>
      <c r="AB79">
        <f t="shared" si="11"/>
        <v>1094.2384601074568</v>
      </c>
      <c r="AC79">
        <f t="shared" si="11"/>
        <v>1085.2636336207711</v>
      </c>
      <c r="AD79">
        <f t="shared" si="11"/>
        <v>1076.2888071340853</v>
      </c>
      <c r="AE79">
        <f t="shared" si="11"/>
        <v>1067.3139806473996</v>
      </c>
      <c r="AF79">
        <f t="shared" si="11"/>
        <v>1058.3391541607139</v>
      </c>
      <c r="AG79">
        <f t="shared" si="9"/>
        <v>1049.3643276740277</v>
      </c>
    </row>
    <row r="80" spans="1:33" x14ac:dyDescent="0.25">
      <c r="A80" t="s">
        <v>24</v>
      </c>
      <c r="B80" t="s">
        <v>2</v>
      </c>
      <c r="C80">
        <f t="shared" si="5"/>
        <v>18.345554513960028</v>
      </c>
      <c r="D80">
        <f t="shared" ref="D80:L80" si="12">C80+($M80-$C80)/($M$77-$C$77)</f>
        <v>19.152663470469083</v>
      </c>
      <c r="E80">
        <f t="shared" si="12"/>
        <v>19.959772426978137</v>
      </c>
      <c r="F80">
        <f t="shared" si="12"/>
        <v>20.766881383487192</v>
      </c>
      <c r="G80">
        <f t="shared" si="12"/>
        <v>21.573990339996246</v>
      </c>
      <c r="H80">
        <f t="shared" si="12"/>
        <v>22.381099296505301</v>
      </c>
      <c r="I80">
        <f t="shared" si="12"/>
        <v>23.188208253014356</v>
      </c>
      <c r="J80">
        <f t="shared" si="12"/>
        <v>23.99531720952341</v>
      </c>
      <c r="K80">
        <f t="shared" si="12"/>
        <v>24.802426166032465</v>
      </c>
      <c r="L80">
        <f t="shared" si="12"/>
        <v>25.609535122541519</v>
      </c>
      <c r="M80">
        <f t="shared" si="7"/>
        <v>26.416644079050574</v>
      </c>
      <c r="N80">
        <f t="shared" ref="N80:AF80" si="13">M80+($AG80-$M80)/($AG$77-$M$77)</f>
        <v>26.39099685178936</v>
      </c>
      <c r="O80">
        <f t="shared" si="13"/>
        <v>26.365349624528147</v>
      </c>
      <c r="P80">
        <f t="shared" si="13"/>
        <v>26.339702397266933</v>
      </c>
      <c r="Q80">
        <f t="shared" si="13"/>
        <v>26.314055170005719</v>
      </c>
      <c r="R80">
        <f t="shared" si="13"/>
        <v>26.288407942744506</v>
      </c>
      <c r="S80">
        <f t="shared" si="13"/>
        <v>26.262760715483292</v>
      </c>
      <c r="T80">
        <f t="shared" si="13"/>
        <v>26.237113488222079</v>
      </c>
      <c r="U80">
        <f t="shared" si="13"/>
        <v>26.211466260960865</v>
      </c>
      <c r="V80">
        <f t="shared" si="13"/>
        <v>26.185819033699651</v>
      </c>
      <c r="W80">
        <f t="shared" si="13"/>
        <v>26.160171806438438</v>
      </c>
      <c r="X80">
        <f t="shared" si="13"/>
        <v>26.134524579177224</v>
      </c>
      <c r="Y80">
        <f t="shared" si="13"/>
        <v>26.108877351916011</v>
      </c>
      <c r="Z80">
        <f t="shared" si="13"/>
        <v>26.083230124654797</v>
      </c>
      <c r="AA80">
        <f t="shared" si="13"/>
        <v>26.057582897393583</v>
      </c>
      <c r="AB80">
        <f t="shared" si="13"/>
        <v>26.03193567013237</v>
      </c>
      <c r="AC80">
        <f t="shared" si="13"/>
        <v>26.006288442871156</v>
      </c>
      <c r="AD80">
        <f t="shared" si="13"/>
        <v>25.980641215609943</v>
      </c>
      <c r="AE80">
        <f t="shared" si="13"/>
        <v>25.954993988348729</v>
      </c>
      <c r="AF80">
        <f t="shared" si="13"/>
        <v>25.929346761087515</v>
      </c>
      <c r="AG80">
        <f t="shared" si="9"/>
        <v>25.903699533826295</v>
      </c>
    </row>
    <row r="81" spans="1:33" x14ac:dyDescent="0.25">
      <c r="A81" t="s">
        <v>22</v>
      </c>
      <c r="B81" t="s">
        <v>9</v>
      </c>
      <c r="C81" s="2">
        <f t="shared" si="5"/>
        <v>0</v>
      </c>
      <c r="D81" s="11">
        <f t="shared" ref="D81:L81" si="14">C81+($M81-$C81)/($M$77-$C$77)</f>
        <v>36.865808432941094</v>
      </c>
      <c r="E81" s="11">
        <f t="shared" si="14"/>
        <v>73.731616865882188</v>
      </c>
      <c r="F81" s="11">
        <f t="shared" si="14"/>
        <v>110.59742529882328</v>
      </c>
      <c r="G81" s="11">
        <f t="shared" si="14"/>
        <v>147.46323373176438</v>
      </c>
      <c r="H81" s="11">
        <f t="shared" si="14"/>
        <v>184.32904216470547</v>
      </c>
      <c r="I81" s="11">
        <f t="shared" si="14"/>
        <v>221.19485059764656</v>
      </c>
      <c r="J81" s="11">
        <f t="shared" si="14"/>
        <v>258.06065903058766</v>
      </c>
      <c r="K81" s="11">
        <f t="shared" si="14"/>
        <v>294.92646746352875</v>
      </c>
      <c r="L81" s="11">
        <f t="shared" si="14"/>
        <v>331.79227589646985</v>
      </c>
      <c r="M81" s="11">
        <f t="shared" si="7"/>
        <v>368.65808432941094</v>
      </c>
      <c r="N81" s="11">
        <f t="shared" ref="N81:AF81" si="15">M81+($AG81-$M81)/($AG$77-$M$77)</f>
        <v>361.81157704900761</v>
      </c>
      <c r="O81" s="11">
        <f t="shared" si="15"/>
        <v>354.96506976860428</v>
      </c>
      <c r="P81" s="11">
        <f t="shared" si="15"/>
        <v>348.11856248820095</v>
      </c>
      <c r="Q81" s="11">
        <f t="shared" si="15"/>
        <v>341.27205520779762</v>
      </c>
      <c r="R81" s="11">
        <f t="shared" si="15"/>
        <v>334.42554792739429</v>
      </c>
      <c r="S81" s="11">
        <f t="shared" si="15"/>
        <v>327.57904064699096</v>
      </c>
      <c r="T81" s="11">
        <f t="shared" si="15"/>
        <v>320.73253336658763</v>
      </c>
      <c r="U81" s="11">
        <f t="shared" si="15"/>
        <v>313.8860260861843</v>
      </c>
      <c r="V81" s="11">
        <f t="shared" si="15"/>
        <v>307.03951880578097</v>
      </c>
      <c r="W81" s="11">
        <f t="shared" si="15"/>
        <v>300.19301152537764</v>
      </c>
      <c r="X81" s="11">
        <f t="shared" si="15"/>
        <v>293.34650424497431</v>
      </c>
      <c r="Y81" s="11">
        <f t="shared" si="15"/>
        <v>286.49999696457098</v>
      </c>
      <c r="Z81" s="11">
        <f t="shared" si="15"/>
        <v>279.65348968416765</v>
      </c>
      <c r="AA81" s="11">
        <f t="shared" si="15"/>
        <v>272.80698240376432</v>
      </c>
      <c r="AB81" s="11">
        <f t="shared" si="15"/>
        <v>265.96047512336099</v>
      </c>
      <c r="AC81" s="11">
        <f t="shared" si="15"/>
        <v>259.11396784295766</v>
      </c>
      <c r="AD81" s="11">
        <f t="shared" si="15"/>
        <v>252.26746056255431</v>
      </c>
      <c r="AE81" s="11">
        <f t="shared" si="15"/>
        <v>245.42095328215095</v>
      </c>
      <c r="AF81" s="11">
        <f t="shared" si="15"/>
        <v>238.57444600174759</v>
      </c>
      <c r="AG81" s="11">
        <f t="shared" si="9"/>
        <v>231.727938721344</v>
      </c>
    </row>
    <row r="82" spans="1:33" x14ac:dyDescent="0.25">
      <c r="A82" s="11" t="s">
        <v>22</v>
      </c>
      <c r="B82" s="11" t="s">
        <v>10</v>
      </c>
      <c r="C82" s="2">
        <f t="shared" si="5"/>
        <v>864.4518806000001</v>
      </c>
      <c r="D82" s="11">
        <f t="shared" ref="D82:L82" si="16">C82+($M82-$C82)/($M$77-$C$77)</f>
        <v>779.9567160900001</v>
      </c>
      <c r="E82" s="11">
        <f t="shared" si="16"/>
        <v>695.4615515800001</v>
      </c>
      <c r="F82" s="11">
        <f t="shared" si="16"/>
        <v>610.96638707000011</v>
      </c>
      <c r="G82" s="11">
        <f t="shared" si="16"/>
        <v>526.47122256000011</v>
      </c>
      <c r="H82" s="11">
        <f t="shared" si="16"/>
        <v>441.97605805000012</v>
      </c>
      <c r="I82" s="11">
        <f t="shared" si="16"/>
        <v>357.48089354000012</v>
      </c>
      <c r="J82" s="11">
        <f t="shared" si="16"/>
        <v>272.98572903000013</v>
      </c>
      <c r="K82" s="11">
        <f t="shared" si="16"/>
        <v>188.49056452000013</v>
      </c>
      <c r="L82" s="11">
        <f t="shared" si="16"/>
        <v>103.99540001000013</v>
      </c>
      <c r="M82" s="11">
        <f t="shared" si="7"/>
        <v>19.500235499999999</v>
      </c>
      <c r="N82" s="11">
        <f t="shared" ref="N82:AF82" si="17">M82+($AG82-$M82)/($AG$77-$M$77)</f>
        <v>18.9294969</v>
      </c>
      <c r="O82" s="11">
        <f t="shared" si="17"/>
        <v>18.358758300000002</v>
      </c>
      <c r="P82" s="11">
        <f t="shared" si="17"/>
        <v>17.788019700000003</v>
      </c>
      <c r="Q82" s="11">
        <f t="shared" si="17"/>
        <v>17.217281100000005</v>
      </c>
      <c r="R82" s="11">
        <f t="shared" si="17"/>
        <v>16.646542500000006</v>
      </c>
      <c r="S82" s="11">
        <f t="shared" si="17"/>
        <v>16.075803900000007</v>
      </c>
      <c r="T82" s="11">
        <f t="shared" si="17"/>
        <v>15.505065300000007</v>
      </c>
      <c r="U82" s="11">
        <f t="shared" si="17"/>
        <v>14.934326700000007</v>
      </c>
      <c r="V82" s="11">
        <f t="shared" si="17"/>
        <v>14.363588100000007</v>
      </c>
      <c r="W82" s="11">
        <f t="shared" si="17"/>
        <v>13.792849500000006</v>
      </c>
      <c r="X82" s="11">
        <f t="shared" si="17"/>
        <v>13.222110900000006</v>
      </c>
      <c r="Y82" s="11">
        <f t="shared" si="17"/>
        <v>12.651372300000006</v>
      </c>
      <c r="Z82" s="11">
        <f t="shared" si="17"/>
        <v>12.080633700000005</v>
      </c>
      <c r="AA82" s="11">
        <f t="shared" si="17"/>
        <v>11.509895100000005</v>
      </c>
      <c r="AB82" s="11">
        <f t="shared" si="17"/>
        <v>10.939156500000005</v>
      </c>
      <c r="AC82" s="11">
        <f t="shared" si="17"/>
        <v>10.368417900000004</v>
      </c>
      <c r="AD82" s="11">
        <f t="shared" si="17"/>
        <v>9.797679300000004</v>
      </c>
      <c r="AE82" s="11">
        <f t="shared" si="17"/>
        <v>9.2269407000000037</v>
      </c>
      <c r="AF82" s="11">
        <f t="shared" si="17"/>
        <v>8.6562021000000033</v>
      </c>
      <c r="AG82" s="11">
        <f t="shared" si="9"/>
        <v>8.0854634999999995</v>
      </c>
    </row>
    <row r="83" spans="1:33" x14ac:dyDescent="0.25">
      <c r="A83" s="11" t="s">
        <v>22</v>
      </c>
      <c r="B83" s="11" t="s">
        <v>75</v>
      </c>
      <c r="C83" s="2">
        <f t="shared" si="5"/>
        <v>18.974159999999998</v>
      </c>
      <c r="D83" s="11">
        <f t="shared" ref="D83:L83" si="18">C83+($M83-$C83)/($M$77-$C$77)</f>
        <v>18.241456817988468</v>
      </c>
      <c r="E83" s="11">
        <f>D83+($M83-$C83)/($M$77-$C$77)</f>
        <v>17.508753635976937</v>
      </c>
      <c r="F83" s="11">
        <f t="shared" si="18"/>
        <v>16.776050453965407</v>
      </c>
      <c r="G83" s="11">
        <f t="shared" si="18"/>
        <v>16.043347271953877</v>
      </c>
      <c r="H83" s="11">
        <f t="shared" si="18"/>
        <v>15.310644089942345</v>
      </c>
      <c r="I83" s="11">
        <f t="shared" si="18"/>
        <v>14.577940907930813</v>
      </c>
      <c r="J83" s="11">
        <f t="shared" si="18"/>
        <v>13.845237725919281</v>
      </c>
      <c r="K83" s="11">
        <f t="shared" si="18"/>
        <v>13.112534543907749</v>
      </c>
      <c r="L83" s="11">
        <f t="shared" si="18"/>
        <v>12.379831361896217</v>
      </c>
      <c r="M83" s="11">
        <f t="shared" si="7"/>
        <v>11.64712817988468</v>
      </c>
      <c r="N83" s="11">
        <f t="shared" ref="N83:AF83" si="19">M83+($AG83-$M83)/($AG$77-$M$77)</f>
        <v>11.361659351946329</v>
      </c>
      <c r="O83" s="11">
        <f t="shared" si="19"/>
        <v>11.076190524007979</v>
      </c>
      <c r="P83" s="11">
        <f t="shared" si="19"/>
        <v>10.790721696069628</v>
      </c>
      <c r="Q83" s="11">
        <f t="shared" si="19"/>
        <v>10.505252868131278</v>
      </c>
      <c r="R83" s="11">
        <f t="shared" si="19"/>
        <v>10.219784040192927</v>
      </c>
      <c r="S83" s="11">
        <f t="shared" si="19"/>
        <v>9.9343152122545764</v>
      </c>
      <c r="T83" s="11">
        <f t="shared" si="19"/>
        <v>9.6488463843162258</v>
      </c>
      <c r="U83" s="11">
        <f t="shared" si="19"/>
        <v>9.3633775563778752</v>
      </c>
      <c r="V83" s="11">
        <f t="shared" si="19"/>
        <v>9.0779087284395246</v>
      </c>
      <c r="W83" s="11">
        <f t="shared" si="19"/>
        <v>8.792439900501174</v>
      </c>
      <c r="X83" s="11">
        <f t="shared" si="19"/>
        <v>8.5069710725628234</v>
      </c>
      <c r="Y83" s="11">
        <f t="shared" si="19"/>
        <v>8.2215022446244728</v>
      </c>
      <c r="Z83" s="11">
        <f t="shared" si="19"/>
        <v>7.9360334166861231</v>
      </c>
      <c r="AA83" s="11">
        <f t="shared" si="19"/>
        <v>7.6505645887477733</v>
      </c>
      <c r="AB83" s="11">
        <f t="shared" si="19"/>
        <v>7.3650957608094236</v>
      </c>
      <c r="AC83" s="11">
        <f t="shared" si="19"/>
        <v>7.0796269328710739</v>
      </c>
      <c r="AD83" s="11">
        <f t="shared" si="19"/>
        <v>6.7941581049327242</v>
      </c>
      <c r="AE83" s="11">
        <f t="shared" si="19"/>
        <v>6.5086892769943745</v>
      </c>
      <c r="AF83" s="11">
        <f t="shared" si="19"/>
        <v>6.2232204490560248</v>
      </c>
      <c r="AG83" s="11">
        <f t="shared" si="9"/>
        <v>5.9377516211176804</v>
      </c>
    </row>
    <row r="84" spans="1:33" x14ac:dyDescent="0.25">
      <c r="A84" s="11"/>
      <c r="B84" s="17"/>
      <c r="C84" s="29"/>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spans="1:33" x14ac:dyDescent="0.25">
      <c r="B85" s="17"/>
      <c r="C85" s="17" t="s">
        <v>256</v>
      </c>
    </row>
    <row r="86" spans="1:33" x14ac:dyDescent="0.25">
      <c r="A86" s="11" t="s">
        <v>22</v>
      </c>
      <c r="B86" s="11" t="s">
        <v>0</v>
      </c>
      <c r="C86">
        <f t="shared" ref="C86:AG86" si="20">C78</f>
        <v>24366.843650481784</v>
      </c>
      <c r="D86">
        <f t="shared" si="20"/>
        <v>24032.035274136124</v>
      </c>
      <c r="E86">
        <f t="shared" si="20"/>
        <v>23697.226897790464</v>
      </c>
      <c r="F86">
        <f t="shared" si="20"/>
        <v>23362.418521444804</v>
      </c>
      <c r="G86">
        <f t="shared" si="20"/>
        <v>23027.610145099145</v>
      </c>
      <c r="H86">
        <f t="shared" si="20"/>
        <v>22692.801768753485</v>
      </c>
      <c r="I86">
        <f t="shared" si="20"/>
        <v>22357.993392407825</v>
      </c>
      <c r="J86">
        <f t="shared" si="20"/>
        <v>22023.185016062165</v>
      </c>
      <c r="K86">
        <f t="shared" si="20"/>
        <v>21688.376639716505</v>
      </c>
      <c r="L86">
        <f t="shared" si="20"/>
        <v>21353.568263370846</v>
      </c>
      <c r="M86">
        <f t="shared" si="20"/>
        <v>21018.759887025171</v>
      </c>
      <c r="N86">
        <f t="shared" si="20"/>
        <v>20072.91569210904</v>
      </c>
      <c r="O86">
        <f t="shared" si="20"/>
        <v>19127.071497192908</v>
      </c>
      <c r="P86">
        <f t="shared" si="20"/>
        <v>18181.227302276777</v>
      </c>
      <c r="Q86">
        <f t="shared" si="20"/>
        <v>17235.383107360645</v>
      </c>
      <c r="R86">
        <f t="shared" si="20"/>
        <v>16289.538912444512</v>
      </c>
      <c r="S86">
        <f t="shared" si="20"/>
        <v>15343.694717528379</v>
      </c>
      <c r="T86">
        <f t="shared" si="20"/>
        <v>14397.850522612245</v>
      </c>
      <c r="U86">
        <f t="shared" si="20"/>
        <v>13452.006327696112</v>
      </c>
      <c r="V86">
        <f t="shared" si="20"/>
        <v>12506.162132779978</v>
      </c>
      <c r="W86">
        <f t="shared" si="20"/>
        <v>11560.317937863845</v>
      </c>
      <c r="X86">
        <f t="shared" si="20"/>
        <v>10614.473742947712</v>
      </c>
      <c r="Y86">
        <f t="shared" si="20"/>
        <v>9668.6295480315785</v>
      </c>
      <c r="Z86">
        <f t="shared" si="20"/>
        <v>8722.7853531154451</v>
      </c>
      <c r="AA86">
        <f t="shared" si="20"/>
        <v>7776.9411581993127</v>
      </c>
      <c r="AB86">
        <f t="shared" si="20"/>
        <v>6831.0969632831802</v>
      </c>
      <c r="AC86">
        <f t="shared" si="20"/>
        <v>5885.2527683670478</v>
      </c>
      <c r="AD86">
        <f t="shared" si="20"/>
        <v>4939.4085734509154</v>
      </c>
      <c r="AE86">
        <f t="shared" si="20"/>
        <v>3993.5643785347829</v>
      </c>
      <c r="AF86">
        <f t="shared" si="20"/>
        <v>3047.7201836186505</v>
      </c>
      <c r="AG86">
        <f t="shared" si="20"/>
        <v>2101.8759887025171</v>
      </c>
    </row>
    <row r="87" spans="1:33" x14ac:dyDescent="0.25">
      <c r="A87" s="11" t="s">
        <v>22</v>
      </c>
      <c r="B87" s="11" t="s">
        <v>1</v>
      </c>
      <c r="C87">
        <f ca="1">'NZ emissions AR4'!$C$11*'NDC tool'!C79</f>
        <v>31155.520253358573</v>
      </c>
      <c r="D87">
        <f ca="1">'NZ emissions AR4'!$C$11*'NDC tool'!D79</f>
        <v>31112.120371542074</v>
      </c>
      <c r="E87">
        <f ca="1">'NZ emissions AR4'!$C$11*'NDC tool'!E79</f>
        <v>31068.720489725576</v>
      </c>
      <c r="F87">
        <f ca="1">'NZ emissions AR4'!$C$11*'NDC tool'!F79</f>
        <v>31025.320607909078</v>
      </c>
      <c r="G87">
        <f ca="1">'NZ emissions AR4'!$C$11*'NDC tool'!G79</f>
        <v>30981.92072609258</v>
      </c>
      <c r="H87">
        <f ca="1">'NZ emissions AR4'!$C$11*'NDC tool'!H79</f>
        <v>30938.520844276081</v>
      </c>
      <c r="I87">
        <f ca="1">'NZ emissions AR4'!$C$11*'NDC tool'!I79</f>
        <v>30895.120962459583</v>
      </c>
      <c r="J87">
        <f ca="1">'NZ emissions AR4'!$C$11*'NDC tool'!J79</f>
        <v>30851.721080643085</v>
      </c>
      <c r="K87">
        <f ca="1">'NZ emissions AR4'!$C$11*'NDC tool'!K79</f>
        <v>30808.321198826587</v>
      </c>
      <c r="L87">
        <f ca="1">'NZ emissions AR4'!$C$11*'NDC tool'!L79</f>
        <v>30764.921317010088</v>
      </c>
      <c r="M87">
        <f ca="1">'NZ emissions AR4'!$C$11*'NDC tool'!M79</f>
        <v>30721.521435193576</v>
      </c>
      <c r="N87">
        <f ca="1">'NZ emissions AR4'!$C$11*'NDC tool'!N79</f>
        <v>30497.150773026431</v>
      </c>
      <c r="O87">
        <f ca="1">'NZ emissions AR4'!$C$11*'NDC tool'!O79</f>
        <v>30272.780110859287</v>
      </c>
      <c r="P87">
        <f ca="1">'NZ emissions AR4'!$C$11*'NDC tool'!P79</f>
        <v>30048.409448692142</v>
      </c>
      <c r="Q87">
        <f ca="1">'NZ emissions AR4'!$C$11*'NDC tool'!Q79</f>
        <v>29824.038786525001</v>
      </c>
      <c r="R87">
        <f ca="1">'NZ emissions AR4'!$C$11*'NDC tool'!R79</f>
        <v>29599.668124357857</v>
      </c>
      <c r="S87">
        <f ca="1">'NZ emissions AR4'!$C$11*'NDC tool'!S79</f>
        <v>29375.297462190712</v>
      </c>
      <c r="T87">
        <f ca="1">'NZ emissions AR4'!$C$11*'NDC tool'!T79</f>
        <v>29150.926800023568</v>
      </c>
      <c r="U87">
        <f ca="1">'NZ emissions AR4'!$C$11*'NDC tool'!U79</f>
        <v>28926.556137856427</v>
      </c>
      <c r="V87">
        <f ca="1">'NZ emissions AR4'!$C$11*'NDC tool'!V79</f>
        <v>28702.185475689283</v>
      </c>
      <c r="W87">
        <f ca="1">'NZ emissions AR4'!$C$11*'NDC tool'!W79</f>
        <v>28477.814813522138</v>
      </c>
      <c r="X87">
        <f ca="1">'NZ emissions AR4'!$C$11*'NDC tool'!X79</f>
        <v>28253.444151354994</v>
      </c>
      <c r="Y87">
        <f ca="1">'NZ emissions AR4'!$C$11*'NDC tool'!Y79</f>
        <v>28029.073489187853</v>
      </c>
      <c r="Z87">
        <f ca="1">'NZ emissions AR4'!$C$11*'NDC tool'!Z79</f>
        <v>27804.702827020708</v>
      </c>
      <c r="AA87">
        <f ca="1">'NZ emissions AR4'!$C$11*'NDC tool'!AA79</f>
        <v>27580.332164853564</v>
      </c>
      <c r="AB87">
        <f ca="1">'NZ emissions AR4'!$C$11*'NDC tool'!AB79</f>
        <v>27355.961502686419</v>
      </c>
      <c r="AC87">
        <f ca="1">'NZ emissions AR4'!$C$11*'NDC tool'!AC79</f>
        <v>27131.590840519279</v>
      </c>
      <c r="AD87">
        <f ca="1">'NZ emissions AR4'!$C$11*'NDC tool'!AD79</f>
        <v>26907.220178352134</v>
      </c>
      <c r="AE87">
        <f ca="1">'NZ emissions AR4'!$C$11*'NDC tool'!AE79</f>
        <v>26682.84951618499</v>
      </c>
      <c r="AF87">
        <f ca="1">'NZ emissions AR4'!$C$11*'NDC tool'!AF79</f>
        <v>26458.478854017845</v>
      </c>
      <c r="AG87">
        <f ca="1">'NZ emissions AR4'!$C$11*'NDC tool'!AG79</f>
        <v>26234.10819185069</v>
      </c>
    </row>
    <row r="88" spans="1:33" x14ac:dyDescent="0.25">
      <c r="A88" s="11" t="s">
        <v>22</v>
      </c>
      <c r="B88" s="11" t="s">
        <v>2</v>
      </c>
      <c r="C88">
        <f ca="1">'NZ emissions AR4'!$C$12*'NDC tool'!C80</f>
        <v>5466.975245160088</v>
      </c>
      <c r="D88">
        <f ca="1">'NZ emissions AR4'!$C$12*'NDC tool'!D80</f>
        <v>5707.4937141997871</v>
      </c>
      <c r="E88">
        <f ca="1">'NZ emissions AR4'!$C$12*'NDC tool'!E80</f>
        <v>5948.0121832394852</v>
      </c>
      <c r="F88">
        <f ca="1">'NZ emissions AR4'!$C$12*'NDC tool'!F80</f>
        <v>6188.5306522791834</v>
      </c>
      <c r="G88">
        <f ca="1">'NZ emissions AR4'!$C$12*'NDC tool'!G80</f>
        <v>6429.0491213188816</v>
      </c>
      <c r="H88">
        <f ca="1">'NZ emissions AR4'!$C$12*'NDC tool'!H80</f>
        <v>6669.5675903585798</v>
      </c>
      <c r="I88">
        <f ca="1">'NZ emissions AR4'!$C$12*'NDC tool'!I80</f>
        <v>6910.0860593982779</v>
      </c>
      <c r="J88">
        <f ca="1">'NZ emissions AR4'!$C$12*'NDC tool'!J80</f>
        <v>7150.6045284379761</v>
      </c>
      <c r="K88">
        <f ca="1">'NZ emissions AR4'!$C$12*'NDC tool'!K80</f>
        <v>7391.1229974776743</v>
      </c>
      <c r="L88">
        <f ca="1">'NZ emissions AR4'!$C$12*'NDC tool'!L80</f>
        <v>7631.6414665173725</v>
      </c>
      <c r="M88">
        <f ca="1">'NZ emissions AR4'!$C$12*'NDC tool'!M80</f>
        <v>7872.1599355570706</v>
      </c>
      <c r="N88">
        <f ca="1">'NZ emissions AR4'!$C$12*'NDC tool'!N80</f>
        <v>7864.5170618332295</v>
      </c>
      <c r="O88">
        <f ca="1">'NZ emissions AR4'!$C$12*'NDC tool'!O80</f>
        <v>7856.8741881093874</v>
      </c>
      <c r="P88">
        <f ca="1">'NZ emissions AR4'!$C$12*'NDC tool'!P80</f>
        <v>7849.2313143855463</v>
      </c>
      <c r="Q88">
        <f ca="1">'NZ emissions AR4'!$C$12*'NDC tool'!Q80</f>
        <v>7841.5884406617042</v>
      </c>
      <c r="R88">
        <f ca="1">'NZ emissions AR4'!$C$12*'NDC tool'!R80</f>
        <v>7833.9455669378631</v>
      </c>
      <c r="S88">
        <f ca="1">'NZ emissions AR4'!$C$12*'NDC tool'!S80</f>
        <v>7826.302693214021</v>
      </c>
      <c r="T88">
        <f ca="1">'NZ emissions AR4'!$C$12*'NDC tool'!T80</f>
        <v>7818.6598194901799</v>
      </c>
      <c r="U88">
        <f ca="1">'NZ emissions AR4'!$C$12*'NDC tool'!U80</f>
        <v>7811.0169457663378</v>
      </c>
      <c r="V88">
        <f ca="1">'NZ emissions AR4'!$C$12*'NDC tool'!V80</f>
        <v>7803.3740720424958</v>
      </c>
      <c r="W88">
        <f ca="1">'NZ emissions AR4'!$C$12*'NDC tool'!W80</f>
        <v>7795.7311983186546</v>
      </c>
      <c r="X88">
        <f ca="1">'NZ emissions AR4'!$C$12*'NDC tool'!X80</f>
        <v>7788.0883245948125</v>
      </c>
      <c r="Y88">
        <f ca="1">'NZ emissions AR4'!$C$12*'NDC tool'!Y80</f>
        <v>7780.4454508709714</v>
      </c>
      <c r="Z88">
        <f ca="1">'NZ emissions AR4'!$C$12*'NDC tool'!Z80</f>
        <v>7772.8025771471293</v>
      </c>
      <c r="AA88">
        <f ca="1">'NZ emissions AR4'!$C$12*'NDC tool'!AA80</f>
        <v>7765.1597034232882</v>
      </c>
      <c r="AB88">
        <f ca="1">'NZ emissions AR4'!$C$12*'NDC tool'!AB80</f>
        <v>7757.5168296994461</v>
      </c>
      <c r="AC88">
        <f ca="1">'NZ emissions AR4'!$C$12*'NDC tool'!AC80</f>
        <v>7749.873955975605</v>
      </c>
      <c r="AD88">
        <f ca="1">'NZ emissions AR4'!$C$12*'NDC tool'!AD80</f>
        <v>7742.2310822517629</v>
      </c>
      <c r="AE88">
        <f ca="1">'NZ emissions AR4'!$C$12*'NDC tool'!AE80</f>
        <v>7734.5882085279209</v>
      </c>
      <c r="AF88">
        <f ca="1">'NZ emissions AR4'!$C$12*'NDC tool'!AF80</f>
        <v>7726.9453348040797</v>
      </c>
      <c r="AG88">
        <f ca="1">'NZ emissions AR4'!$C$12*'NDC tool'!AG80</f>
        <v>7719.3024610802358</v>
      </c>
    </row>
    <row r="89" spans="1:33" x14ac:dyDescent="0.25">
      <c r="A89" s="11" t="s">
        <v>22</v>
      </c>
      <c r="B89" s="11" t="s">
        <v>9</v>
      </c>
      <c r="C89" s="2">
        <f>C81</f>
        <v>0</v>
      </c>
      <c r="D89" s="2">
        <f t="shared" ref="D89:AG89" si="21">D81</f>
        <v>36.865808432941094</v>
      </c>
      <c r="E89" s="2">
        <f t="shared" si="21"/>
        <v>73.731616865882188</v>
      </c>
      <c r="F89" s="2">
        <f t="shared" si="21"/>
        <v>110.59742529882328</v>
      </c>
      <c r="G89" s="2">
        <f t="shared" si="21"/>
        <v>147.46323373176438</v>
      </c>
      <c r="H89" s="2">
        <f t="shared" si="21"/>
        <v>184.32904216470547</v>
      </c>
      <c r="I89" s="2">
        <f t="shared" si="21"/>
        <v>221.19485059764656</v>
      </c>
      <c r="J89" s="2">
        <f t="shared" si="21"/>
        <v>258.06065903058766</v>
      </c>
      <c r="K89" s="2">
        <f t="shared" si="21"/>
        <v>294.92646746352875</v>
      </c>
      <c r="L89" s="2">
        <f t="shared" si="21"/>
        <v>331.79227589646985</v>
      </c>
      <c r="M89" s="2">
        <f t="shared" si="21"/>
        <v>368.65808432941094</v>
      </c>
      <c r="N89" s="2">
        <f t="shared" si="21"/>
        <v>361.81157704900761</v>
      </c>
      <c r="O89" s="2">
        <f t="shared" si="21"/>
        <v>354.96506976860428</v>
      </c>
      <c r="P89" s="2">
        <f t="shared" si="21"/>
        <v>348.11856248820095</v>
      </c>
      <c r="Q89" s="2">
        <f t="shared" si="21"/>
        <v>341.27205520779762</v>
      </c>
      <c r="R89" s="2">
        <f t="shared" si="21"/>
        <v>334.42554792739429</v>
      </c>
      <c r="S89" s="2">
        <f t="shared" si="21"/>
        <v>327.57904064699096</v>
      </c>
      <c r="T89" s="2">
        <f t="shared" si="21"/>
        <v>320.73253336658763</v>
      </c>
      <c r="U89" s="2">
        <f t="shared" si="21"/>
        <v>313.8860260861843</v>
      </c>
      <c r="V89" s="2">
        <f t="shared" si="21"/>
        <v>307.03951880578097</v>
      </c>
      <c r="W89" s="2">
        <f t="shared" si="21"/>
        <v>300.19301152537764</v>
      </c>
      <c r="X89" s="2">
        <f t="shared" si="21"/>
        <v>293.34650424497431</v>
      </c>
      <c r="Y89" s="2">
        <f t="shared" si="21"/>
        <v>286.49999696457098</v>
      </c>
      <c r="Z89" s="2">
        <f t="shared" si="21"/>
        <v>279.65348968416765</v>
      </c>
      <c r="AA89" s="2">
        <f t="shared" si="21"/>
        <v>272.80698240376432</v>
      </c>
      <c r="AB89" s="2">
        <f t="shared" si="21"/>
        <v>265.96047512336099</v>
      </c>
      <c r="AC89" s="2">
        <f t="shared" si="21"/>
        <v>259.11396784295766</v>
      </c>
      <c r="AD89" s="2">
        <f t="shared" si="21"/>
        <v>252.26746056255431</v>
      </c>
      <c r="AE89" s="2">
        <f t="shared" si="21"/>
        <v>245.42095328215095</v>
      </c>
      <c r="AF89" s="2">
        <f t="shared" si="21"/>
        <v>238.57444600174759</v>
      </c>
      <c r="AG89" s="2">
        <f t="shared" si="21"/>
        <v>231.727938721344</v>
      </c>
    </row>
    <row r="90" spans="1:33" x14ac:dyDescent="0.25">
      <c r="A90" s="11" t="s">
        <v>22</v>
      </c>
      <c r="B90" s="11" t="s">
        <v>10</v>
      </c>
      <c r="C90" s="2">
        <f>C82</f>
        <v>864.4518806000001</v>
      </c>
      <c r="D90" s="2">
        <f t="shared" ref="D90:AG90" si="22">D82</f>
        <v>779.9567160900001</v>
      </c>
      <c r="E90" s="2">
        <f t="shared" si="22"/>
        <v>695.4615515800001</v>
      </c>
      <c r="F90" s="2">
        <f t="shared" si="22"/>
        <v>610.96638707000011</v>
      </c>
      <c r="G90" s="2">
        <f t="shared" si="22"/>
        <v>526.47122256000011</v>
      </c>
      <c r="H90" s="2">
        <f t="shared" si="22"/>
        <v>441.97605805000012</v>
      </c>
      <c r="I90" s="2">
        <f t="shared" si="22"/>
        <v>357.48089354000012</v>
      </c>
      <c r="J90" s="2">
        <f t="shared" si="22"/>
        <v>272.98572903000013</v>
      </c>
      <c r="K90" s="2">
        <f t="shared" si="22"/>
        <v>188.49056452000013</v>
      </c>
      <c r="L90" s="2">
        <f t="shared" si="22"/>
        <v>103.99540001000013</v>
      </c>
      <c r="M90" s="2">
        <f t="shared" si="22"/>
        <v>19.500235499999999</v>
      </c>
      <c r="N90" s="2">
        <f t="shared" si="22"/>
        <v>18.9294969</v>
      </c>
      <c r="O90" s="2">
        <f t="shared" si="22"/>
        <v>18.358758300000002</v>
      </c>
      <c r="P90" s="2">
        <f t="shared" si="22"/>
        <v>17.788019700000003</v>
      </c>
      <c r="Q90" s="2">
        <f t="shared" si="22"/>
        <v>17.217281100000005</v>
      </c>
      <c r="R90" s="2">
        <f t="shared" si="22"/>
        <v>16.646542500000006</v>
      </c>
      <c r="S90" s="2">
        <f t="shared" si="22"/>
        <v>16.075803900000007</v>
      </c>
      <c r="T90" s="2">
        <f t="shared" si="22"/>
        <v>15.505065300000007</v>
      </c>
      <c r="U90" s="2">
        <f t="shared" si="22"/>
        <v>14.934326700000007</v>
      </c>
      <c r="V90" s="2">
        <f t="shared" si="22"/>
        <v>14.363588100000007</v>
      </c>
      <c r="W90" s="2">
        <f t="shared" si="22"/>
        <v>13.792849500000006</v>
      </c>
      <c r="X90" s="2">
        <f t="shared" si="22"/>
        <v>13.222110900000006</v>
      </c>
      <c r="Y90" s="2">
        <f t="shared" si="22"/>
        <v>12.651372300000006</v>
      </c>
      <c r="Z90" s="2">
        <f t="shared" si="22"/>
        <v>12.080633700000005</v>
      </c>
      <c r="AA90" s="2">
        <f t="shared" si="22"/>
        <v>11.509895100000005</v>
      </c>
      <c r="AB90" s="2">
        <f t="shared" si="22"/>
        <v>10.939156500000005</v>
      </c>
      <c r="AC90" s="2">
        <f t="shared" si="22"/>
        <v>10.368417900000004</v>
      </c>
      <c r="AD90" s="2">
        <f t="shared" si="22"/>
        <v>9.797679300000004</v>
      </c>
      <c r="AE90" s="2">
        <f t="shared" si="22"/>
        <v>9.2269407000000037</v>
      </c>
      <c r="AF90" s="2">
        <f t="shared" si="22"/>
        <v>8.6562021000000033</v>
      </c>
      <c r="AG90" s="2">
        <f t="shared" si="22"/>
        <v>8.0854634999999995</v>
      </c>
    </row>
    <row r="91" spans="1:33" x14ac:dyDescent="0.25">
      <c r="A91" s="11" t="s">
        <v>22</v>
      </c>
      <c r="B91" s="11" t="s">
        <v>75</v>
      </c>
      <c r="C91" s="2">
        <f>C83</f>
        <v>18.974159999999998</v>
      </c>
      <c r="D91" s="2">
        <f t="shared" ref="D91:AG91" si="23">D83</f>
        <v>18.241456817988468</v>
      </c>
      <c r="E91" s="2">
        <f t="shared" si="23"/>
        <v>17.508753635976937</v>
      </c>
      <c r="F91" s="2">
        <f t="shared" si="23"/>
        <v>16.776050453965407</v>
      </c>
      <c r="G91" s="2">
        <f t="shared" si="23"/>
        <v>16.043347271953877</v>
      </c>
      <c r="H91" s="2">
        <f t="shared" si="23"/>
        <v>15.310644089942345</v>
      </c>
      <c r="I91" s="2">
        <f t="shared" si="23"/>
        <v>14.577940907930813</v>
      </c>
      <c r="J91" s="2">
        <f t="shared" si="23"/>
        <v>13.845237725919281</v>
      </c>
      <c r="K91" s="2">
        <f t="shared" si="23"/>
        <v>13.112534543907749</v>
      </c>
      <c r="L91" s="2">
        <f t="shared" si="23"/>
        <v>12.379831361896217</v>
      </c>
      <c r="M91" s="2">
        <f t="shared" si="23"/>
        <v>11.64712817988468</v>
      </c>
      <c r="N91" s="2">
        <f t="shared" si="23"/>
        <v>11.361659351946329</v>
      </c>
      <c r="O91" s="2">
        <f t="shared" si="23"/>
        <v>11.076190524007979</v>
      </c>
      <c r="P91" s="2">
        <f t="shared" si="23"/>
        <v>10.790721696069628</v>
      </c>
      <c r="Q91" s="2">
        <f t="shared" si="23"/>
        <v>10.505252868131278</v>
      </c>
      <c r="R91" s="2">
        <f t="shared" si="23"/>
        <v>10.219784040192927</v>
      </c>
      <c r="S91" s="2">
        <f t="shared" si="23"/>
        <v>9.9343152122545764</v>
      </c>
      <c r="T91" s="2">
        <f t="shared" si="23"/>
        <v>9.6488463843162258</v>
      </c>
      <c r="U91" s="2">
        <f t="shared" si="23"/>
        <v>9.3633775563778752</v>
      </c>
      <c r="V91" s="2">
        <f t="shared" si="23"/>
        <v>9.0779087284395246</v>
      </c>
      <c r="W91" s="2">
        <f t="shared" si="23"/>
        <v>8.792439900501174</v>
      </c>
      <c r="X91" s="2">
        <f t="shared" si="23"/>
        <v>8.5069710725628234</v>
      </c>
      <c r="Y91" s="2">
        <f t="shared" si="23"/>
        <v>8.2215022446244728</v>
      </c>
      <c r="Z91" s="2">
        <f t="shared" si="23"/>
        <v>7.9360334166861231</v>
      </c>
      <c r="AA91" s="2">
        <f t="shared" si="23"/>
        <v>7.6505645887477733</v>
      </c>
      <c r="AB91" s="2">
        <f t="shared" si="23"/>
        <v>7.3650957608094236</v>
      </c>
      <c r="AC91" s="2">
        <f t="shared" si="23"/>
        <v>7.0796269328710739</v>
      </c>
      <c r="AD91" s="2">
        <f t="shared" si="23"/>
        <v>6.7941581049327242</v>
      </c>
      <c r="AE91" s="2">
        <f t="shared" si="23"/>
        <v>6.5086892769943745</v>
      </c>
      <c r="AF91" s="2">
        <f t="shared" si="23"/>
        <v>6.2232204490560248</v>
      </c>
      <c r="AG91" s="2">
        <f t="shared" si="23"/>
        <v>5.9377516211176804</v>
      </c>
    </row>
    <row r="93" spans="1:33" x14ac:dyDescent="0.25">
      <c r="A93" s="28" t="s">
        <v>22</v>
      </c>
      <c r="B93" s="28" t="s">
        <v>83</v>
      </c>
      <c r="C93" s="28">
        <f t="shared" ref="C93:AG93" ca="1" si="24">SUM(C86:C91)</f>
        <v>61872.765189600439</v>
      </c>
      <c r="D93" s="28">
        <f t="shared" ca="1" si="24"/>
        <v>61686.713341218914</v>
      </c>
      <c r="E93" s="28">
        <f t="shared" ca="1" si="24"/>
        <v>61500.661492837389</v>
      </c>
      <c r="F93" s="28">
        <f t="shared" ca="1" si="24"/>
        <v>61314.60964445585</v>
      </c>
      <c r="G93" s="28">
        <f t="shared" ca="1" si="24"/>
        <v>61128.557796074325</v>
      </c>
      <c r="H93" s="28">
        <f t="shared" ca="1" si="24"/>
        <v>60942.505947692793</v>
      </c>
      <c r="I93" s="28">
        <f t="shared" ca="1" si="24"/>
        <v>60756.454099311268</v>
      </c>
      <c r="J93" s="28">
        <f t="shared" ca="1" si="24"/>
        <v>60570.402250929736</v>
      </c>
      <c r="K93" s="28">
        <f t="shared" ca="1" si="24"/>
        <v>60384.350402548196</v>
      </c>
      <c r="L93" s="28">
        <f t="shared" ca="1" si="24"/>
        <v>60198.298554166671</v>
      </c>
      <c r="M93" s="28">
        <f t="shared" ca="1" si="24"/>
        <v>60012.246705785125</v>
      </c>
      <c r="N93" s="28">
        <f t="shared" ca="1" si="24"/>
        <v>58826.686260269649</v>
      </c>
      <c r="O93" s="28">
        <f t="shared" ca="1" si="24"/>
        <v>57641.125814754188</v>
      </c>
      <c r="P93" s="28">
        <f t="shared" ca="1" si="24"/>
        <v>56455.56536923872</v>
      </c>
      <c r="Q93" s="28">
        <f t="shared" ca="1" si="24"/>
        <v>55270.004923723282</v>
      </c>
      <c r="R93" s="28">
        <f t="shared" ca="1" si="24"/>
        <v>54084.444478207821</v>
      </c>
      <c r="S93" s="28">
        <f t="shared" ca="1" si="24"/>
        <v>52898.884032692353</v>
      </c>
      <c r="T93" s="28">
        <f t="shared" ca="1" si="24"/>
        <v>51713.323587176899</v>
      </c>
      <c r="U93" s="28">
        <f t="shared" ca="1" si="24"/>
        <v>50527.763141661439</v>
      </c>
      <c r="V93" s="28">
        <f t="shared" ca="1" si="24"/>
        <v>49342.202696145978</v>
      </c>
      <c r="W93" s="28">
        <f t="shared" ca="1" si="24"/>
        <v>48156.642250630517</v>
      </c>
      <c r="X93" s="28">
        <f t="shared" ca="1" si="24"/>
        <v>46971.081805115064</v>
      </c>
      <c r="Y93" s="28">
        <f t="shared" ca="1" si="24"/>
        <v>45785.521359599603</v>
      </c>
      <c r="Z93" s="28">
        <f t="shared" ca="1" si="24"/>
        <v>44599.960914084142</v>
      </c>
      <c r="AA93" s="28">
        <f t="shared" ca="1" si="24"/>
        <v>43414.400468568681</v>
      </c>
      <c r="AB93" s="28">
        <f t="shared" ca="1" si="24"/>
        <v>42228.840023053221</v>
      </c>
      <c r="AC93" s="28">
        <f t="shared" ca="1" si="24"/>
        <v>41043.27957753776</v>
      </c>
      <c r="AD93" s="28">
        <f t="shared" ca="1" si="24"/>
        <v>39857.719132022292</v>
      </c>
      <c r="AE93" s="28">
        <f t="shared" ca="1" si="24"/>
        <v>38672.158686506838</v>
      </c>
      <c r="AF93" s="28">
        <f t="shared" ca="1" si="24"/>
        <v>37486.598240991378</v>
      </c>
      <c r="AG93" s="28">
        <f t="shared" ca="1" si="24"/>
        <v>36301.037795475902</v>
      </c>
    </row>
    <row r="96" spans="1:33" x14ac:dyDescent="0.25">
      <c r="C96" s="85"/>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row>
    <row r="97" spans="1:48" x14ac:dyDescent="0.25">
      <c r="B97" s="11"/>
      <c r="D97" s="6"/>
      <c r="AH97" s="11"/>
      <c r="AI97" s="11"/>
      <c r="AJ97" s="11"/>
      <c r="AK97" s="11"/>
      <c r="AL97" s="11"/>
      <c r="AM97" s="11"/>
      <c r="AN97" s="11"/>
      <c r="AO97" s="11"/>
      <c r="AP97" s="11"/>
      <c r="AQ97" s="11"/>
      <c r="AR97" s="11"/>
      <c r="AS97" s="11"/>
      <c r="AT97" s="11"/>
      <c r="AU97" s="11"/>
      <c r="AV97" s="11"/>
    </row>
    <row r="98" spans="1:48" x14ac:dyDescent="0.25">
      <c r="B98" s="11"/>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100" spans="1:48" x14ac:dyDescent="0.25">
      <c r="A100" s="1" t="s">
        <v>189</v>
      </c>
    </row>
    <row r="101" spans="1:48" x14ac:dyDescent="0.25">
      <c r="A101" s="17"/>
      <c r="B101" s="17"/>
      <c r="C101" s="11" t="s">
        <v>102</v>
      </c>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row>
    <row r="102" spans="1:48" x14ac:dyDescent="0.25">
      <c r="A102" s="11"/>
      <c r="B102" s="17"/>
      <c r="C102" s="17">
        <v>2020</v>
      </c>
      <c r="D102" s="11">
        <f>C102+1</f>
        <v>2021</v>
      </c>
      <c r="E102" s="11">
        <f t="shared" ref="E102" si="25">D102+1</f>
        <v>2022</v>
      </c>
      <c r="F102" s="11">
        <f t="shared" ref="F102" si="26">E102+1</f>
        <v>2023</v>
      </c>
      <c r="G102" s="11">
        <f t="shared" ref="G102" si="27">F102+1</f>
        <v>2024</v>
      </c>
      <c r="H102" s="11">
        <f t="shared" ref="H102" si="28">G102+1</f>
        <v>2025</v>
      </c>
      <c r="I102" s="11">
        <f t="shared" ref="I102" si="29">H102+1</f>
        <v>2026</v>
      </c>
      <c r="J102" s="11">
        <f t="shared" ref="J102" si="30">I102+1</f>
        <v>2027</v>
      </c>
      <c r="K102" s="11">
        <f t="shared" ref="K102" si="31">J102+1</f>
        <v>2028</v>
      </c>
      <c r="L102" s="11">
        <f t="shared" ref="L102" si="32">K102+1</f>
        <v>2029</v>
      </c>
      <c r="M102" s="11">
        <f t="shared" ref="M102" si="33">L102+1</f>
        <v>2030</v>
      </c>
      <c r="N102" s="11">
        <f t="shared" ref="N102" si="34">M102+1</f>
        <v>2031</v>
      </c>
      <c r="O102" s="11">
        <f t="shared" ref="O102" si="35">N102+1</f>
        <v>2032</v>
      </c>
      <c r="P102" s="11">
        <f t="shared" ref="P102" si="36">O102+1</f>
        <v>2033</v>
      </c>
      <c r="Q102" s="11">
        <f t="shared" ref="Q102" si="37">P102+1</f>
        <v>2034</v>
      </c>
      <c r="R102" s="11">
        <f t="shared" ref="R102" si="38">Q102+1</f>
        <v>2035</v>
      </c>
      <c r="S102" s="11">
        <f t="shared" ref="S102" si="39">R102+1</f>
        <v>2036</v>
      </c>
      <c r="T102" s="11">
        <f t="shared" ref="T102" si="40">S102+1</f>
        <v>2037</v>
      </c>
      <c r="U102" s="11">
        <f t="shared" ref="U102" si="41">T102+1</f>
        <v>2038</v>
      </c>
      <c r="V102" s="11">
        <f t="shared" ref="V102" si="42">U102+1</f>
        <v>2039</v>
      </c>
      <c r="W102" s="11">
        <f t="shared" ref="W102" si="43">V102+1</f>
        <v>2040</v>
      </c>
      <c r="X102" s="11">
        <f t="shared" ref="X102" si="44">W102+1</f>
        <v>2041</v>
      </c>
      <c r="Y102" s="11">
        <f t="shared" ref="Y102" si="45">X102+1</f>
        <v>2042</v>
      </c>
      <c r="Z102" s="11">
        <f t="shared" ref="Z102" si="46">Y102+1</f>
        <v>2043</v>
      </c>
      <c r="AA102" s="11">
        <f t="shared" ref="AA102" si="47">Z102+1</f>
        <v>2044</v>
      </c>
      <c r="AB102" s="11">
        <f t="shared" ref="AB102" si="48">AA102+1</f>
        <v>2045</v>
      </c>
      <c r="AC102" s="11">
        <f t="shared" ref="AC102" si="49">AB102+1</f>
        <v>2046</v>
      </c>
      <c r="AD102" s="11">
        <f t="shared" ref="AD102" si="50">AC102+1</f>
        <v>2047</v>
      </c>
      <c r="AE102" s="11">
        <f t="shared" ref="AE102" si="51">AD102+1</f>
        <v>2048</v>
      </c>
      <c r="AF102" s="11">
        <f t="shared" ref="AF102" si="52">AE102+1</f>
        <v>2049</v>
      </c>
      <c r="AG102" s="11">
        <f t="shared" ref="AG102" si="53">AF102+1</f>
        <v>2050</v>
      </c>
    </row>
    <row r="103" spans="1:48" x14ac:dyDescent="0.25">
      <c r="A103" s="11" t="s">
        <v>24</v>
      </c>
      <c r="B103" s="11" t="s">
        <v>0</v>
      </c>
      <c r="C103" s="8">
        <f t="shared" ref="C103:C108" si="54">B42</f>
        <v>24366.843650481784</v>
      </c>
      <c r="D103" s="11">
        <f t="shared" ref="D103:L103" si="55">C103+($M103-$C103)/($M$77-$C$77)</f>
        <v>23401.472477525367</v>
      </c>
      <c r="E103" s="11">
        <f t="shared" si="55"/>
        <v>22436.101304568951</v>
      </c>
      <c r="F103" s="11">
        <f t="shared" si="55"/>
        <v>21470.730131612534</v>
      </c>
      <c r="G103" s="11">
        <f t="shared" si="55"/>
        <v>20505.358958656117</v>
      </c>
      <c r="H103" s="11">
        <f t="shared" si="55"/>
        <v>19539.987785699701</v>
      </c>
      <c r="I103" s="11">
        <f t="shared" si="55"/>
        <v>18574.616612743284</v>
      </c>
      <c r="J103" s="11">
        <f t="shared" si="55"/>
        <v>17609.245439786868</v>
      </c>
      <c r="K103" s="11">
        <f t="shared" si="55"/>
        <v>16643.874266830451</v>
      </c>
      <c r="L103" s="11">
        <f t="shared" si="55"/>
        <v>15678.503093874035</v>
      </c>
      <c r="M103" s="8">
        <f t="shared" ref="M103:M108" si="56">B66</f>
        <v>14713.131920917618</v>
      </c>
      <c r="N103" s="11">
        <f t="shared" ref="N103:AF103" si="57">M103+($AG103-$M103)/($AG$77-$M$77)</f>
        <v>13854.865892197424</v>
      </c>
      <c r="O103" s="11">
        <f t="shared" si="57"/>
        <v>12996.59986347723</v>
      </c>
      <c r="P103" s="11">
        <f t="shared" si="57"/>
        <v>12138.333834757035</v>
      </c>
      <c r="Q103" s="11">
        <f t="shared" si="57"/>
        <v>11280.067806036841</v>
      </c>
      <c r="R103" s="11">
        <f t="shared" si="57"/>
        <v>10421.801777316647</v>
      </c>
      <c r="S103" s="11">
        <f t="shared" si="57"/>
        <v>9563.5357485964523</v>
      </c>
      <c r="T103" s="11">
        <f t="shared" si="57"/>
        <v>8705.269719876258</v>
      </c>
      <c r="U103" s="11">
        <f t="shared" si="57"/>
        <v>7847.0036911560637</v>
      </c>
      <c r="V103" s="11">
        <f t="shared" si="57"/>
        <v>6988.7376624358694</v>
      </c>
      <c r="W103" s="11">
        <f t="shared" si="57"/>
        <v>6130.4716337156751</v>
      </c>
      <c r="X103" s="11">
        <f t="shared" si="57"/>
        <v>5272.2056049954808</v>
      </c>
      <c r="Y103" s="11">
        <f t="shared" si="57"/>
        <v>4413.9395762752865</v>
      </c>
      <c r="Z103" s="11">
        <f t="shared" si="57"/>
        <v>3555.6735475550922</v>
      </c>
      <c r="AA103" s="11">
        <f t="shared" si="57"/>
        <v>2697.4075188348979</v>
      </c>
      <c r="AB103" s="11">
        <f t="shared" si="57"/>
        <v>1839.1414901147036</v>
      </c>
      <c r="AC103" s="11">
        <f t="shared" si="57"/>
        <v>980.87546139450933</v>
      </c>
      <c r="AD103" s="11">
        <f t="shared" si="57"/>
        <v>122.60943267431503</v>
      </c>
      <c r="AE103" s="11">
        <f t="shared" si="57"/>
        <v>-735.65659604587927</v>
      </c>
      <c r="AF103" s="11">
        <f t="shared" si="57"/>
        <v>-1593.9226247660736</v>
      </c>
      <c r="AG103" s="11">
        <f t="shared" ref="AG103:AG108" si="58">D66</f>
        <v>-2452.1886534862697</v>
      </c>
    </row>
    <row r="104" spans="1:48" x14ac:dyDescent="0.25">
      <c r="A104" s="11" t="s">
        <v>24</v>
      </c>
      <c r="B104" s="11" t="s">
        <v>1</v>
      </c>
      <c r="C104" s="8">
        <f t="shared" si="54"/>
        <v>1246.2208101343429</v>
      </c>
      <c r="D104" s="11">
        <f t="shared" ref="D104:L104" si="59">C104+($M104-$C104)/($M$77-$C$77)</f>
        <v>1218.2507066698322</v>
      </c>
      <c r="E104" s="11">
        <f t="shared" si="59"/>
        <v>1190.2806032053215</v>
      </c>
      <c r="F104" s="11">
        <f t="shared" si="59"/>
        <v>1162.3104997408109</v>
      </c>
      <c r="G104" s="11">
        <f t="shared" si="59"/>
        <v>1134.3403962763002</v>
      </c>
      <c r="H104" s="11">
        <f t="shared" si="59"/>
        <v>1106.3702928117896</v>
      </c>
      <c r="I104" s="11">
        <f t="shared" si="59"/>
        <v>1078.4001893472789</v>
      </c>
      <c r="J104" s="11">
        <f t="shared" si="59"/>
        <v>1050.4300858827683</v>
      </c>
      <c r="K104" s="11">
        <f t="shared" si="59"/>
        <v>1022.4599824182576</v>
      </c>
      <c r="L104" s="11">
        <f t="shared" si="59"/>
        <v>994.48987895374694</v>
      </c>
      <c r="M104" s="8">
        <f t="shared" si="56"/>
        <v>966.51977548923605</v>
      </c>
      <c r="N104" s="11">
        <f t="shared" ref="N104:AF104" si="60">M104+($AG104-$M104)/($AG$77-$M$77)</f>
        <v>954.78346392972389</v>
      </c>
      <c r="O104" s="11">
        <f t="shared" si="60"/>
        <v>943.04715237021173</v>
      </c>
      <c r="P104" s="11">
        <f t="shared" si="60"/>
        <v>931.31084081069957</v>
      </c>
      <c r="Q104" s="11">
        <f t="shared" si="60"/>
        <v>919.57452925118741</v>
      </c>
      <c r="R104" s="11">
        <f t="shared" si="60"/>
        <v>907.83821769167525</v>
      </c>
      <c r="S104" s="11">
        <f t="shared" si="60"/>
        <v>896.10190613216309</v>
      </c>
      <c r="T104" s="11">
        <f t="shared" si="60"/>
        <v>884.36559457265093</v>
      </c>
      <c r="U104" s="11">
        <f t="shared" si="60"/>
        <v>872.62928301313877</v>
      </c>
      <c r="V104" s="11">
        <f t="shared" si="60"/>
        <v>860.89297145362661</v>
      </c>
      <c r="W104" s="11">
        <f t="shared" si="60"/>
        <v>849.15665989411445</v>
      </c>
      <c r="X104" s="11">
        <f t="shared" si="60"/>
        <v>837.42034833460229</v>
      </c>
      <c r="Y104" s="11">
        <f t="shared" si="60"/>
        <v>825.68403677509014</v>
      </c>
      <c r="Z104" s="11">
        <f t="shared" si="60"/>
        <v>813.94772521557798</v>
      </c>
      <c r="AA104" s="11">
        <f t="shared" si="60"/>
        <v>802.21141365606582</v>
      </c>
      <c r="AB104" s="11">
        <f t="shared" si="60"/>
        <v>790.47510209655366</v>
      </c>
      <c r="AC104" s="11">
        <f t="shared" si="60"/>
        <v>778.7387905370415</v>
      </c>
      <c r="AD104" s="11">
        <f t="shared" si="60"/>
        <v>767.00247897752934</v>
      </c>
      <c r="AE104" s="11">
        <f t="shared" si="60"/>
        <v>755.26616741801718</v>
      </c>
      <c r="AF104" s="11">
        <f t="shared" si="60"/>
        <v>743.52985585850502</v>
      </c>
      <c r="AG104" s="11">
        <f t="shared" si="58"/>
        <v>731.79354429899297</v>
      </c>
    </row>
    <row r="105" spans="1:48" x14ac:dyDescent="0.25">
      <c r="A105" s="11" t="s">
        <v>24</v>
      </c>
      <c r="B105" s="11" t="s">
        <v>2</v>
      </c>
      <c r="C105" s="8">
        <f t="shared" si="54"/>
        <v>18.345554513960028</v>
      </c>
      <c r="D105" s="11">
        <f t="shared" ref="D105:L105" si="61">C105+($M105-$C105)/($M$77-$C$77)</f>
        <v>18.537130016199942</v>
      </c>
      <c r="E105" s="11">
        <f t="shared" si="61"/>
        <v>18.728705518439856</v>
      </c>
      <c r="F105" s="11">
        <f t="shared" si="61"/>
        <v>18.92028102067977</v>
      </c>
      <c r="G105" s="11">
        <f t="shared" si="61"/>
        <v>19.111856522919684</v>
      </c>
      <c r="H105" s="11">
        <f t="shared" si="61"/>
        <v>19.303432025159598</v>
      </c>
      <c r="I105" s="11">
        <f t="shared" si="61"/>
        <v>19.495007527399512</v>
      </c>
      <c r="J105" s="11">
        <f t="shared" si="61"/>
        <v>19.686583029639426</v>
      </c>
      <c r="K105" s="11">
        <f t="shared" si="61"/>
        <v>19.87815853187934</v>
      </c>
      <c r="L105" s="11">
        <f t="shared" si="61"/>
        <v>20.069734034119254</v>
      </c>
      <c r="M105" s="8">
        <f t="shared" si="56"/>
        <v>20.261309536359178</v>
      </c>
      <c r="N105" s="11">
        <f t="shared" ref="N105:AF105" si="62">M105+($AG105-$M105)/($AG$77-$M$77)</f>
        <v>20.197191468206142</v>
      </c>
      <c r="O105" s="11">
        <f t="shared" si="62"/>
        <v>20.133073400053107</v>
      </c>
      <c r="P105" s="11">
        <f t="shared" si="62"/>
        <v>20.068955331900071</v>
      </c>
      <c r="Q105" s="11">
        <f t="shared" si="62"/>
        <v>20.004837263747035</v>
      </c>
      <c r="R105" s="11">
        <f t="shared" si="62"/>
        <v>19.940719195593999</v>
      </c>
      <c r="S105" s="11">
        <f t="shared" si="62"/>
        <v>19.876601127440964</v>
      </c>
      <c r="T105" s="11">
        <f t="shared" si="62"/>
        <v>19.812483059287928</v>
      </c>
      <c r="U105" s="11">
        <f t="shared" si="62"/>
        <v>19.748364991134892</v>
      </c>
      <c r="V105" s="11">
        <f t="shared" si="62"/>
        <v>19.684246922981856</v>
      </c>
      <c r="W105" s="11">
        <f t="shared" si="62"/>
        <v>19.62012885482882</v>
      </c>
      <c r="X105" s="11">
        <f t="shared" si="62"/>
        <v>19.556010786675785</v>
      </c>
      <c r="Y105" s="11">
        <f t="shared" si="62"/>
        <v>19.491892718522749</v>
      </c>
      <c r="Z105" s="11">
        <f t="shared" si="62"/>
        <v>19.427774650369713</v>
      </c>
      <c r="AA105" s="11">
        <f t="shared" si="62"/>
        <v>19.363656582216677</v>
      </c>
      <c r="AB105" s="11">
        <f t="shared" si="62"/>
        <v>19.299538514063642</v>
      </c>
      <c r="AC105" s="11">
        <f t="shared" si="62"/>
        <v>19.235420445910606</v>
      </c>
      <c r="AD105" s="11">
        <f t="shared" si="62"/>
        <v>19.17130237775757</v>
      </c>
      <c r="AE105" s="11">
        <f t="shared" si="62"/>
        <v>19.107184309604534</v>
      </c>
      <c r="AF105" s="11">
        <f t="shared" si="62"/>
        <v>19.043066241451498</v>
      </c>
      <c r="AG105" s="11">
        <f t="shared" si="58"/>
        <v>18.978948173298473</v>
      </c>
    </row>
    <row r="106" spans="1:48" x14ac:dyDescent="0.25">
      <c r="A106" s="11" t="s">
        <v>22</v>
      </c>
      <c r="B106" s="11" t="s">
        <v>9</v>
      </c>
      <c r="C106" s="8">
        <f t="shared" si="54"/>
        <v>0</v>
      </c>
      <c r="D106" s="11">
        <f t="shared" ref="D106:L106" si="63">C106+($M106-$C106)/($M$77-$C$77)</f>
        <v>24.226102684504145</v>
      </c>
      <c r="E106" s="11">
        <f t="shared" si="63"/>
        <v>48.45220536900829</v>
      </c>
      <c r="F106" s="11">
        <f t="shared" si="63"/>
        <v>72.678308053512438</v>
      </c>
      <c r="G106" s="11">
        <f t="shared" si="63"/>
        <v>96.90441073801658</v>
      </c>
      <c r="H106" s="11">
        <f t="shared" si="63"/>
        <v>121.13051342252072</v>
      </c>
      <c r="I106" s="11">
        <f t="shared" si="63"/>
        <v>145.35661610702488</v>
      </c>
      <c r="J106" s="11">
        <f t="shared" si="63"/>
        <v>169.58271879152903</v>
      </c>
      <c r="K106" s="11">
        <f t="shared" si="63"/>
        <v>193.80882147603319</v>
      </c>
      <c r="L106" s="11">
        <f t="shared" si="63"/>
        <v>218.03492416053734</v>
      </c>
      <c r="M106" s="8">
        <f t="shared" si="56"/>
        <v>242.26102684504144</v>
      </c>
      <c r="N106" s="11">
        <f t="shared" ref="N106:AF106" si="64">M106+($AG106-$M106)/($AG$77-$M$77)</f>
        <v>235.41451956463811</v>
      </c>
      <c r="O106" s="11">
        <f t="shared" si="64"/>
        <v>228.56801228423478</v>
      </c>
      <c r="P106" s="11">
        <f t="shared" si="64"/>
        <v>221.72150500383145</v>
      </c>
      <c r="Q106" s="11">
        <f t="shared" si="64"/>
        <v>214.87499772342812</v>
      </c>
      <c r="R106" s="11">
        <f t="shared" si="64"/>
        <v>208.02849044302479</v>
      </c>
      <c r="S106" s="11">
        <f t="shared" si="64"/>
        <v>201.18198316262146</v>
      </c>
      <c r="T106" s="11">
        <f t="shared" si="64"/>
        <v>194.33547588221813</v>
      </c>
      <c r="U106" s="11">
        <f t="shared" si="64"/>
        <v>187.4889686018148</v>
      </c>
      <c r="V106" s="11">
        <f t="shared" si="64"/>
        <v>180.64246132141147</v>
      </c>
      <c r="W106" s="11">
        <f t="shared" si="64"/>
        <v>173.79595404100814</v>
      </c>
      <c r="X106" s="11">
        <f t="shared" si="64"/>
        <v>166.94944676060481</v>
      </c>
      <c r="Y106" s="11">
        <f t="shared" si="64"/>
        <v>160.10293948020148</v>
      </c>
      <c r="Z106" s="11">
        <f t="shared" si="64"/>
        <v>153.25643219979816</v>
      </c>
      <c r="AA106" s="11">
        <f t="shared" si="64"/>
        <v>146.40992491939483</v>
      </c>
      <c r="AB106" s="11">
        <f t="shared" si="64"/>
        <v>139.5634176389915</v>
      </c>
      <c r="AC106" s="11">
        <f t="shared" si="64"/>
        <v>132.71691035858817</v>
      </c>
      <c r="AD106" s="11">
        <f t="shared" si="64"/>
        <v>125.87040307818482</v>
      </c>
      <c r="AE106" s="11">
        <f t="shared" si="64"/>
        <v>119.02389579778148</v>
      </c>
      <c r="AF106" s="11">
        <f t="shared" si="64"/>
        <v>112.17738851737813</v>
      </c>
      <c r="AG106" s="11">
        <f t="shared" si="58"/>
        <v>105.33088123697455</v>
      </c>
    </row>
    <row r="107" spans="1:48" x14ac:dyDescent="0.25">
      <c r="A107" s="11" t="s">
        <v>22</v>
      </c>
      <c r="B107" s="11" t="s">
        <v>10</v>
      </c>
      <c r="C107" s="8">
        <f t="shared" si="54"/>
        <v>864.4518806000001</v>
      </c>
      <c r="D107" s="11">
        <f t="shared" ref="D107:L107" si="65">C107+($M107-$C107)/($M$77-$C$77)</f>
        <v>779.43353904000014</v>
      </c>
      <c r="E107" s="11">
        <f t="shared" si="65"/>
        <v>694.41519748000019</v>
      </c>
      <c r="F107" s="11">
        <f t="shared" si="65"/>
        <v>609.39685592000023</v>
      </c>
      <c r="G107" s="11">
        <f t="shared" si="65"/>
        <v>524.37851436000028</v>
      </c>
      <c r="H107" s="11">
        <f t="shared" si="65"/>
        <v>439.36017280000027</v>
      </c>
      <c r="I107" s="11">
        <f t="shared" si="65"/>
        <v>354.34183124000026</v>
      </c>
      <c r="J107" s="11">
        <f t="shared" si="65"/>
        <v>269.32348968000025</v>
      </c>
      <c r="K107" s="11">
        <f t="shared" si="65"/>
        <v>184.30514812000024</v>
      </c>
      <c r="L107" s="11">
        <f t="shared" si="65"/>
        <v>99.28680656000023</v>
      </c>
      <c r="M107" s="8">
        <f t="shared" si="56"/>
        <v>14.268464999999999</v>
      </c>
      <c r="N107" s="11">
        <f t="shared" ref="N107:AF107" si="66">M107+($AG107-$M107)/($AG$77-$M$77)</f>
        <v>13.697726399999999</v>
      </c>
      <c r="O107" s="11">
        <f t="shared" si="66"/>
        <v>13.126987799999998</v>
      </c>
      <c r="P107" s="11">
        <f t="shared" si="66"/>
        <v>12.556249199999998</v>
      </c>
      <c r="Q107" s="11">
        <f t="shared" si="66"/>
        <v>11.985510599999998</v>
      </c>
      <c r="R107" s="11">
        <f t="shared" si="66"/>
        <v>11.414771999999997</v>
      </c>
      <c r="S107" s="11">
        <f t="shared" si="66"/>
        <v>10.844033399999997</v>
      </c>
      <c r="T107" s="11">
        <f t="shared" si="66"/>
        <v>10.273294799999997</v>
      </c>
      <c r="U107" s="11">
        <f t="shared" si="66"/>
        <v>9.7025561999999965</v>
      </c>
      <c r="V107" s="11">
        <f t="shared" si="66"/>
        <v>9.1318175999999962</v>
      </c>
      <c r="W107" s="11">
        <f t="shared" si="66"/>
        <v>8.5610789999999959</v>
      </c>
      <c r="X107" s="11">
        <f t="shared" si="66"/>
        <v>7.9903403999999956</v>
      </c>
      <c r="Y107" s="11">
        <f t="shared" si="66"/>
        <v>7.4196017999999953</v>
      </c>
      <c r="Z107" s="11">
        <f t="shared" si="66"/>
        <v>6.8488631999999949</v>
      </c>
      <c r="AA107" s="11">
        <f t="shared" si="66"/>
        <v>6.2781245999999946</v>
      </c>
      <c r="AB107" s="11">
        <f t="shared" si="66"/>
        <v>5.7073859999999943</v>
      </c>
      <c r="AC107" s="11">
        <f t="shared" si="66"/>
        <v>5.136647399999994</v>
      </c>
      <c r="AD107" s="11">
        <f t="shared" si="66"/>
        <v>4.5659087999999937</v>
      </c>
      <c r="AE107" s="11">
        <f t="shared" si="66"/>
        <v>3.9951701999999938</v>
      </c>
      <c r="AF107" s="11">
        <f t="shared" si="66"/>
        <v>3.4244315999999939</v>
      </c>
      <c r="AG107" s="11">
        <f t="shared" si="58"/>
        <v>2.8536929999999994</v>
      </c>
    </row>
    <row r="108" spans="1:48" x14ac:dyDescent="0.25">
      <c r="A108" s="11" t="s">
        <v>22</v>
      </c>
      <c r="B108" s="11" t="s">
        <v>75</v>
      </c>
      <c r="C108" s="8">
        <f t="shared" si="54"/>
        <v>18.974159999999998</v>
      </c>
      <c r="D108" s="11">
        <f t="shared" ref="D108:L108" si="67">C108+($M108-$C108)/($M$77-$C$77)</f>
        <v>17.83038170575724</v>
      </c>
      <c r="E108" s="11">
        <f t="shared" si="67"/>
        <v>16.686603411514483</v>
      </c>
      <c r="F108" s="11">
        <f t="shared" si="67"/>
        <v>15.542825117271727</v>
      </c>
      <c r="G108" s="11">
        <f t="shared" si="67"/>
        <v>14.399046823028971</v>
      </c>
      <c r="H108" s="11">
        <f t="shared" si="67"/>
        <v>13.255268528786216</v>
      </c>
      <c r="I108" s="11">
        <f t="shared" si="67"/>
        <v>12.11149023454346</v>
      </c>
      <c r="J108" s="11">
        <f t="shared" si="67"/>
        <v>10.967711940300704</v>
      </c>
      <c r="K108" s="11">
        <f t="shared" si="67"/>
        <v>9.8239336460579487</v>
      </c>
      <c r="L108" s="11">
        <f t="shared" si="67"/>
        <v>8.680155351815193</v>
      </c>
      <c r="M108" s="8">
        <f t="shared" si="56"/>
        <v>7.53637705757244</v>
      </c>
      <c r="N108" s="11">
        <f t="shared" ref="N108:AF108" si="68">M108+($AG108-$M108)/($AG$77-$M$77)</f>
        <v>7.3879332670444979</v>
      </c>
      <c r="O108" s="11">
        <f t="shared" si="68"/>
        <v>7.2394894765165558</v>
      </c>
      <c r="P108" s="11">
        <f t="shared" si="68"/>
        <v>7.0910456859886137</v>
      </c>
      <c r="Q108" s="11">
        <f t="shared" si="68"/>
        <v>6.9426018954606716</v>
      </c>
      <c r="R108" s="11">
        <f t="shared" si="68"/>
        <v>6.7941581049327295</v>
      </c>
      <c r="S108" s="11">
        <f t="shared" si="68"/>
        <v>6.6457143144047874</v>
      </c>
      <c r="T108" s="11">
        <f t="shared" si="68"/>
        <v>6.4972705238768453</v>
      </c>
      <c r="U108" s="11">
        <f t="shared" si="68"/>
        <v>6.3488267333489032</v>
      </c>
      <c r="V108" s="11">
        <f t="shared" si="68"/>
        <v>6.2003829428209611</v>
      </c>
      <c r="W108" s="11">
        <f t="shared" si="68"/>
        <v>6.051939152293019</v>
      </c>
      <c r="X108" s="11">
        <f t="shared" si="68"/>
        <v>5.9034953617650769</v>
      </c>
      <c r="Y108" s="11">
        <f t="shared" si="68"/>
        <v>5.7550515712371348</v>
      </c>
      <c r="Z108" s="11">
        <f t="shared" si="68"/>
        <v>5.6066077807091927</v>
      </c>
      <c r="AA108" s="11">
        <f t="shared" si="68"/>
        <v>5.4581639901812506</v>
      </c>
      <c r="AB108" s="11">
        <f t="shared" si="68"/>
        <v>5.3097201996533085</v>
      </c>
      <c r="AC108" s="11">
        <f t="shared" si="68"/>
        <v>5.1612764091253664</v>
      </c>
      <c r="AD108" s="11">
        <f t="shared" si="68"/>
        <v>5.0128326185974244</v>
      </c>
      <c r="AE108" s="11">
        <f t="shared" si="68"/>
        <v>4.8643888280694823</v>
      </c>
      <c r="AF108" s="11">
        <f t="shared" si="68"/>
        <v>4.7159450375415402</v>
      </c>
      <c r="AG108" s="11">
        <f t="shared" si="58"/>
        <v>4.5675012470136007</v>
      </c>
    </row>
    <row r="109" spans="1:48" x14ac:dyDescent="0.25">
      <c r="A109" s="11"/>
      <c r="B109" s="17"/>
      <c r="C109" s="29"/>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spans="1:48" x14ac:dyDescent="0.25">
      <c r="A110" s="11"/>
      <c r="B110" s="17"/>
      <c r="C110" s="17" t="s">
        <v>256</v>
      </c>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row>
    <row r="111" spans="1:48" x14ac:dyDescent="0.25">
      <c r="A111" s="11" t="s">
        <v>22</v>
      </c>
      <c r="B111" s="11" t="s">
        <v>0</v>
      </c>
      <c r="C111" s="11">
        <f t="shared" ref="C111:AG111" si="69">C103</f>
        <v>24366.843650481784</v>
      </c>
      <c r="D111" s="11">
        <f t="shared" si="69"/>
        <v>23401.472477525367</v>
      </c>
      <c r="E111" s="11">
        <f t="shared" si="69"/>
        <v>22436.101304568951</v>
      </c>
      <c r="F111" s="11">
        <f t="shared" si="69"/>
        <v>21470.730131612534</v>
      </c>
      <c r="G111" s="11">
        <f t="shared" si="69"/>
        <v>20505.358958656117</v>
      </c>
      <c r="H111" s="11">
        <f t="shared" si="69"/>
        <v>19539.987785699701</v>
      </c>
      <c r="I111" s="11">
        <f t="shared" si="69"/>
        <v>18574.616612743284</v>
      </c>
      <c r="J111" s="11">
        <f t="shared" si="69"/>
        <v>17609.245439786868</v>
      </c>
      <c r="K111" s="11">
        <f t="shared" si="69"/>
        <v>16643.874266830451</v>
      </c>
      <c r="L111" s="11">
        <f t="shared" si="69"/>
        <v>15678.503093874035</v>
      </c>
      <c r="M111" s="11">
        <f t="shared" si="69"/>
        <v>14713.131920917618</v>
      </c>
      <c r="N111" s="11">
        <f t="shared" si="69"/>
        <v>13854.865892197424</v>
      </c>
      <c r="O111" s="11">
        <f t="shared" si="69"/>
        <v>12996.59986347723</v>
      </c>
      <c r="P111" s="11">
        <f t="shared" si="69"/>
        <v>12138.333834757035</v>
      </c>
      <c r="Q111" s="11">
        <f t="shared" si="69"/>
        <v>11280.067806036841</v>
      </c>
      <c r="R111" s="11">
        <f t="shared" si="69"/>
        <v>10421.801777316647</v>
      </c>
      <c r="S111" s="11">
        <f t="shared" si="69"/>
        <v>9563.5357485964523</v>
      </c>
      <c r="T111" s="11">
        <f t="shared" si="69"/>
        <v>8705.269719876258</v>
      </c>
      <c r="U111" s="11">
        <f t="shared" si="69"/>
        <v>7847.0036911560637</v>
      </c>
      <c r="V111" s="11">
        <f t="shared" si="69"/>
        <v>6988.7376624358694</v>
      </c>
      <c r="W111" s="11">
        <f t="shared" si="69"/>
        <v>6130.4716337156751</v>
      </c>
      <c r="X111" s="11">
        <f t="shared" si="69"/>
        <v>5272.2056049954808</v>
      </c>
      <c r="Y111" s="11">
        <f t="shared" si="69"/>
        <v>4413.9395762752865</v>
      </c>
      <c r="Z111" s="11">
        <f t="shared" si="69"/>
        <v>3555.6735475550922</v>
      </c>
      <c r="AA111" s="11">
        <f t="shared" si="69"/>
        <v>2697.4075188348979</v>
      </c>
      <c r="AB111" s="11">
        <f t="shared" si="69"/>
        <v>1839.1414901147036</v>
      </c>
      <c r="AC111" s="11">
        <f t="shared" si="69"/>
        <v>980.87546139450933</v>
      </c>
      <c r="AD111" s="11">
        <f t="shared" si="69"/>
        <v>122.60943267431503</v>
      </c>
      <c r="AE111" s="11">
        <f t="shared" si="69"/>
        <v>-735.65659604587927</v>
      </c>
      <c r="AF111" s="11">
        <f t="shared" si="69"/>
        <v>-1593.9226247660736</v>
      </c>
      <c r="AG111" s="11">
        <f t="shared" si="69"/>
        <v>-2452.1886534862697</v>
      </c>
    </row>
    <row r="112" spans="1:48" x14ac:dyDescent="0.25">
      <c r="A112" s="11" t="s">
        <v>22</v>
      </c>
      <c r="B112" s="11" t="s">
        <v>1</v>
      </c>
      <c r="C112" s="11">
        <f ca="1">'NZ emissions AR4'!$C$11*'NDC tool'!C104</f>
        <v>31155.520253358573</v>
      </c>
      <c r="D112" s="11">
        <f ca="1">'NZ emissions AR4'!$C$11*'NDC tool'!D104</f>
        <v>30456.267666745804</v>
      </c>
      <c r="E112" s="11">
        <f ca="1">'NZ emissions AR4'!$C$11*'NDC tool'!E104</f>
        <v>29757.015080133038</v>
      </c>
      <c r="F112" s="11">
        <f ca="1">'NZ emissions AR4'!$C$11*'NDC tool'!F104</f>
        <v>29057.762493520273</v>
      </c>
      <c r="G112" s="11">
        <f ca="1">'NZ emissions AR4'!$C$11*'NDC tool'!G104</f>
        <v>28358.509906907504</v>
      </c>
      <c r="H112" s="11">
        <f ca="1">'NZ emissions AR4'!$C$11*'NDC tool'!H104</f>
        <v>27659.257320294739</v>
      </c>
      <c r="I112" s="11">
        <f ca="1">'NZ emissions AR4'!$C$11*'NDC tool'!I104</f>
        <v>26960.004733681973</v>
      </c>
      <c r="J112" s="11">
        <f ca="1">'NZ emissions AR4'!$C$11*'NDC tool'!J104</f>
        <v>26260.752147069208</v>
      </c>
      <c r="K112" s="11">
        <f ca="1">'NZ emissions AR4'!$C$11*'NDC tool'!K104</f>
        <v>25561.499560456439</v>
      </c>
      <c r="L112" s="11">
        <f ca="1">'NZ emissions AR4'!$C$11*'NDC tool'!L104</f>
        <v>24862.246973843674</v>
      </c>
      <c r="M112" s="11">
        <f ca="1">'NZ emissions AR4'!$C$11*'NDC tool'!M104</f>
        <v>24162.994387230901</v>
      </c>
      <c r="N112" s="11">
        <f ca="1">'NZ emissions AR4'!$C$11*'NDC tool'!N104</f>
        <v>23869.586598243099</v>
      </c>
      <c r="O112" s="11">
        <f ca="1">'NZ emissions AR4'!$C$11*'NDC tool'!O104</f>
        <v>23576.178809255292</v>
      </c>
      <c r="P112" s="11">
        <f ca="1">'NZ emissions AR4'!$C$11*'NDC tool'!P104</f>
        <v>23282.77102026749</v>
      </c>
      <c r="Q112" s="11">
        <f ca="1">'NZ emissions AR4'!$C$11*'NDC tool'!Q104</f>
        <v>22989.363231279684</v>
      </c>
      <c r="R112" s="11">
        <f ca="1">'NZ emissions AR4'!$C$11*'NDC tool'!R104</f>
        <v>22695.955442291881</v>
      </c>
      <c r="S112" s="11">
        <f ca="1">'NZ emissions AR4'!$C$11*'NDC tool'!S104</f>
        <v>22402.547653304078</v>
      </c>
      <c r="T112" s="11">
        <f ca="1">'NZ emissions AR4'!$C$11*'NDC tool'!T104</f>
        <v>22109.139864316272</v>
      </c>
      <c r="U112" s="11">
        <f ca="1">'NZ emissions AR4'!$C$11*'NDC tool'!U104</f>
        <v>21815.732075328469</v>
      </c>
      <c r="V112" s="11">
        <f ca="1">'NZ emissions AR4'!$C$11*'NDC tool'!V104</f>
        <v>21522.324286340667</v>
      </c>
      <c r="W112" s="11">
        <f ca="1">'NZ emissions AR4'!$C$11*'NDC tool'!W104</f>
        <v>21228.91649735286</v>
      </c>
      <c r="X112" s="11">
        <f ca="1">'NZ emissions AR4'!$C$11*'NDC tool'!X104</f>
        <v>20935.508708365058</v>
      </c>
      <c r="Y112" s="11">
        <f ca="1">'NZ emissions AR4'!$C$11*'NDC tool'!Y104</f>
        <v>20642.100919377255</v>
      </c>
      <c r="Z112" s="11">
        <f ca="1">'NZ emissions AR4'!$C$11*'NDC tool'!Z104</f>
        <v>20348.693130389449</v>
      </c>
      <c r="AA112" s="11">
        <f ca="1">'NZ emissions AR4'!$C$11*'NDC tool'!AA104</f>
        <v>20055.285341401646</v>
      </c>
      <c r="AB112" s="11">
        <f ca="1">'NZ emissions AR4'!$C$11*'NDC tool'!AB104</f>
        <v>19761.87755241384</v>
      </c>
      <c r="AC112" s="11">
        <f ca="1">'NZ emissions AR4'!$C$11*'NDC tool'!AC104</f>
        <v>19468.469763426037</v>
      </c>
      <c r="AD112" s="11">
        <f ca="1">'NZ emissions AR4'!$C$11*'NDC tool'!AD104</f>
        <v>19175.061974438235</v>
      </c>
      <c r="AE112" s="11">
        <f ca="1">'NZ emissions AR4'!$C$11*'NDC tool'!AE104</f>
        <v>18881.654185450428</v>
      </c>
      <c r="AF112" s="11">
        <f ca="1">'NZ emissions AR4'!$C$11*'NDC tool'!AF104</f>
        <v>18588.246396462626</v>
      </c>
      <c r="AG112" s="11">
        <f ca="1">'NZ emissions AR4'!$C$11*'NDC tool'!AG104</f>
        <v>18294.838607474823</v>
      </c>
    </row>
    <row r="113" spans="1:33" x14ac:dyDescent="0.25">
      <c r="A113" s="11" t="s">
        <v>22</v>
      </c>
      <c r="B113" s="11" t="s">
        <v>2</v>
      </c>
      <c r="C113" s="11">
        <f ca="1">'NZ emissions AR4'!$C$12*'NDC tool'!C105</f>
        <v>5466.975245160088</v>
      </c>
      <c r="D113" s="11">
        <f ca="1">'NZ emissions AR4'!$C$12*'NDC tool'!D105</f>
        <v>5524.0647448275831</v>
      </c>
      <c r="E113" s="11">
        <f ca="1">'NZ emissions AR4'!$C$12*'NDC tool'!E105</f>
        <v>5581.1542444950774</v>
      </c>
      <c r="F113" s="11">
        <f ca="1">'NZ emissions AR4'!$C$12*'NDC tool'!F105</f>
        <v>5638.2437441625716</v>
      </c>
      <c r="G113" s="11">
        <f ca="1">'NZ emissions AR4'!$C$12*'NDC tool'!G105</f>
        <v>5695.3332438300658</v>
      </c>
      <c r="H113" s="11">
        <f ca="1">'NZ emissions AR4'!$C$12*'NDC tool'!H105</f>
        <v>5752.4227434975601</v>
      </c>
      <c r="I113" s="11">
        <f ca="1">'NZ emissions AR4'!$C$12*'NDC tool'!I105</f>
        <v>5809.5122431650543</v>
      </c>
      <c r="J113" s="11">
        <f ca="1">'NZ emissions AR4'!$C$12*'NDC tool'!J105</f>
        <v>5866.6017428325486</v>
      </c>
      <c r="K113" s="11">
        <f ca="1">'NZ emissions AR4'!$C$12*'NDC tool'!K105</f>
        <v>5923.6912425000428</v>
      </c>
      <c r="L113" s="11">
        <f ca="1">'NZ emissions AR4'!$C$12*'NDC tool'!L105</f>
        <v>5980.7807421675379</v>
      </c>
      <c r="M113" s="11">
        <f ca="1">'NZ emissions AR4'!$C$12*'NDC tool'!M105</f>
        <v>6037.8702418350349</v>
      </c>
      <c r="N113" s="11">
        <f ca="1">'NZ emissions AR4'!$C$12*'NDC tool'!N105</f>
        <v>6018.7630575254307</v>
      </c>
      <c r="O113" s="11">
        <f ca="1">'NZ emissions AR4'!$C$12*'NDC tool'!O105</f>
        <v>5999.6558732158255</v>
      </c>
      <c r="P113" s="11">
        <f ca="1">'NZ emissions AR4'!$C$12*'NDC tool'!P105</f>
        <v>5980.5486889062213</v>
      </c>
      <c r="Q113" s="11">
        <f ca="1">'NZ emissions AR4'!$C$12*'NDC tool'!Q105</f>
        <v>5961.4415045966161</v>
      </c>
      <c r="R113" s="11">
        <f ca="1">'NZ emissions AR4'!$C$12*'NDC tool'!R105</f>
        <v>5942.3343202870119</v>
      </c>
      <c r="S113" s="11">
        <f ca="1">'NZ emissions AR4'!$C$12*'NDC tool'!S105</f>
        <v>5923.2271359774068</v>
      </c>
      <c r="T113" s="11">
        <f ca="1">'NZ emissions AR4'!$C$12*'NDC tool'!T105</f>
        <v>5904.1199516678025</v>
      </c>
      <c r="U113" s="11">
        <f ca="1">'NZ emissions AR4'!$C$12*'NDC tool'!U105</f>
        <v>5885.0127673581974</v>
      </c>
      <c r="V113" s="11">
        <f ca="1">'NZ emissions AR4'!$C$12*'NDC tool'!V105</f>
        <v>5865.9055830485931</v>
      </c>
      <c r="W113" s="11">
        <f ca="1">'NZ emissions AR4'!$C$12*'NDC tool'!W105</f>
        <v>5846.7983987389889</v>
      </c>
      <c r="X113" s="11">
        <f ca="1">'NZ emissions AR4'!$C$12*'NDC tool'!X105</f>
        <v>5827.6912144293838</v>
      </c>
      <c r="Y113" s="11">
        <f ca="1">'NZ emissions AR4'!$C$12*'NDC tool'!Y105</f>
        <v>5808.5840301197795</v>
      </c>
      <c r="Z113" s="11">
        <f ca="1">'NZ emissions AR4'!$C$12*'NDC tool'!Z105</f>
        <v>5789.4768458101744</v>
      </c>
      <c r="AA113" s="11">
        <f ca="1">'NZ emissions AR4'!$C$12*'NDC tool'!AA105</f>
        <v>5770.3696615005701</v>
      </c>
      <c r="AB113" s="11">
        <f ca="1">'NZ emissions AR4'!$C$12*'NDC tool'!AB105</f>
        <v>5751.262477190965</v>
      </c>
      <c r="AC113" s="11">
        <f ca="1">'NZ emissions AR4'!$C$12*'NDC tool'!AC105</f>
        <v>5732.1552928813608</v>
      </c>
      <c r="AD113" s="11">
        <f ca="1">'NZ emissions AR4'!$C$12*'NDC tool'!AD105</f>
        <v>5713.0481085717556</v>
      </c>
      <c r="AE113" s="11">
        <f ca="1">'NZ emissions AR4'!$C$12*'NDC tool'!AE105</f>
        <v>5693.9409242621514</v>
      </c>
      <c r="AF113" s="11">
        <f ca="1">'NZ emissions AR4'!$C$12*'NDC tool'!AF105</f>
        <v>5674.8337399525462</v>
      </c>
      <c r="AG113" s="11">
        <f ca="1">'NZ emissions AR4'!$C$12*'NDC tool'!AG105</f>
        <v>5655.7265556429447</v>
      </c>
    </row>
    <row r="114" spans="1:33" x14ac:dyDescent="0.25">
      <c r="A114" s="11" t="s">
        <v>22</v>
      </c>
      <c r="B114" s="11" t="s">
        <v>9</v>
      </c>
      <c r="C114" s="2">
        <f>C106</f>
        <v>0</v>
      </c>
      <c r="D114" s="2">
        <f t="shared" ref="D114:AG114" si="70">D106</f>
        <v>24.226102684504145</v>
      </c>
      <c r="E114" s="2">
        <f t="shared" si="70"/>
        <v>48.45220536900829</v>
      </c>
      <c r="F114" s="2">
        <f t="shared" si="70"/>
        <v>72.678308053512438</v>
      </c>
      <c r="G114" s="2">
        <f t="shared" si="70"/>
        <v>96.90441073801658</v>
      </c>
      <c r="H114" s="2">
        <f>H106</f>
        <v>121.13051342252072</v>
      </c>
      <c r="I114" s="2">
        <f t="shared" si="70"/>
        <v>145.35661610702488</v>
      </c>
      <c r="J114" s="2">
        <f t="shared" si="70"/>
        <v>169.58271879152903</v>
      </c>
      <c r="K114" s="2">
        <f t="shared" si="70"/>
        <v>193.80882147603319</v>
      </c>
      <c r="L114" s="2">
        <f t="shared" si="70"/>
        <v>218.03492416053734</v>
      </c>
      <c r="M114" s="2">
        <f t="shared" si="70"/>
        <v>242.26102684504144</v>
      </c>
      <c r="N114" s="2">
        <f t="shared" si="70"/>
        <v>235.41451956463811</v>
      </c>
      <c r="O114" s="2">
        <f t="shared" si="70"/>
        <v>228.56801228423478</v>
      </c>
      <c r="P114" s="2">
        <f t="shared" si="70"/>
        <v>221.72150500383145</v>
      </c>
      <c r="Q114" s="2">
        <f t="shared" si="70"/>
        <v>214.87499772342812</v>
      </c>
      <c r="R114" s="2">
        <f t="shared" si="70"/>
        <v>208.02849044302479</v>
      </c>
      <c r="S114" s="2">
        <f t="shared" si="70"/>
        <v>201.18198316262146</v>
      </c>
      <c r="T114" s="2">
        <f t="shared" si="70"/>
        <v>194.33547588221813</v>
      </c>
      <c r="U114" s="2">
        <f t="shared" si="70"/>
        <v>187.4889686018148</v>
      </c>
      <c r="V114" s="2">
        <f t="shared" si="70"/>
        <v>180.64246132141147</v>
      </c>
      <c r="W114" s="2">
        <f t="shared" si="70"/>
        <v>173.79595404100814</v>
      </c>
      <c r="X114" s="2">
        <f t="shared" si="70"/>
        <v>166.94944676060481</v>
      </c>
      <c r="Y114" s="2">
        <f t="shared" si="70"/>
        <v>160.10293948020148</v>
      </c>
      <c r="Z114" s="2">
        <f t="shared" si="70"/>
        <v>153.25643219979816</v>
      </c>
      <c r="AA114" s="2">
        <f t="shared" si="70"/>
        <v>146.40992491939483</v>
      </c>
      <c r="AB114" s="2">
        <f t="shared" si="70"/>
        <v>139.5634176389915</v>
      </c>
      <c r="AC114" s="2">
        <f t="shared" si="70"/>
        <v>132.71691035858817</v>
      </c>
      <c r="AD114" s="2">
        <f t="shared" si="70"/>
        <v>125.87040307818482</v>
      </c>
      <c r="AE114" s="2">
        <f t="shared" si="70"/>
        <v>119.02389579778148</v>
      </c>
      <c r="AF114" s="2">
        <f t="shared" si="70"/>
        <v>112.17738851737813</v>
      </c>
      <c r="AG114" s="2">
        <f t="shared" si="70"/>
        <v>105.33088123697455</v>
      </c>
    </row>
    <row r="115" spans="1:33" x14ac:dyDescent="0.25">
      <c r="A115" s="11" t="s">
        <v>22</v>
      </c>
      <c r="B115" s="11" t="s">
        <v>10</v>
      </c>
      <c r="C115" s="2">
        <f>C107</f>
        <v>864.4518806000001</v>
      </c>
      <c r="D115" s="2">
        <f t="shared" ref="D115:AG115" si="71">D107</f>
        <v>779.43353904000014</v>
      </c>
      <c r="E115" s="2">
        <f t="shared" si="71"/>
        <v>694.41519748000019</v>
      </c>
      <c r="F115" s="2">
        <f t="shared" si="71"/>
        <v>609.39685592000023</v>
      </c>
      <c r="G115" s="2">
        <f t="shared" si="71"/>
        <v>524.37851436000028</v>
      </c>
      <c r="H115" s="2">
        <f>H107</f>
        <v>439.36017280000027</v>
      </c>
      <c r="I115" s="2">
        <f t="shared" si="71"/>
        <v>354.34183124000026</v>
      </c>
      <c r="J115" s="2">
        <f t="shared" si="71"/>
        <v>269.32348968000025</v>
      </c>
      <c r="K115" s="2">
        <f t="shared" si="71"/>
        <v>184.30514812000024</v>
      </c>
      <c r="L115" s="2">
        <f t="shared" si="71"/>
        <v>99.28680656000023</v>
      </c>
      <c r="M115" s="2">
        <f t="shared" si="71"/>
        <v>14.268464999999999</v>
      </c>
      <c r="N115" s="2">
        <f t="shared" si="71"/>
        <v>13.697726399999999</v>
      </c>
      <c r="O115" s="2">
        <f t="shared" si="71"/>
        <v>13.126987799999998</v>
      </c>
      <c r="P115" s="2">
        <f t="shared" si="71"/>
        <v>12.556249199999998</v>
      </c>
      <c r="Q115" s="2">
        <f t="shared" si="71"/>
        <v>11.985510599999998</v>
      </c>
      <c r="R115" s="2">
        <f t="shared" si="71"/>
        <v>11.414771999999997</v>
      </c>
      <c r="S115" s="2">
        <f t="shared" si="71"/>
        <v>10.844033399999997</v>
      </c>
      <c r="T115" s="2">
        <f t="shared" si="71"/>
        <v>10.273294799999997</v>
      </c>
      <c r="U115" s="2">
        <f t="shared" si="71"/>
        <v>9.7025561999999965</v>
      </c>
      <c r="V115" s="2">
        <f t="shared" si="71"/>
        <v>9.1318175999999962</v>
      </c>
      <c r="W115" s="2">
        <f t="shared" si="71"/>
        <v>8.5610789999999959</v>
      </c>
      <c r="X115" s="2">
        <f t="shared" si="71"/>
        <v>7.9903403999999956</v>
      </c>
      <c r="Y115" s="2">
        <f t="shared" si="71"/>
        <v>7.4196017999999953</v>
      </c>
      <c r="Z115" s="2">
        <f t="shared" si="71"/>
        <v>6.8488631999999949</v>
      </c>
      <c r="AA115" s="2">
        <f t="shared" si="71"/>
        <v>6.2781245999999946</v>
      </c>
      <c r="AB115" s="2">
        <f t="shared" si="71"/>
        <v>5.7073859999999943</v>
      </c>
      <c r="AC115" s="2">
        <f t="shared" si="71"/>
        <v>5.136647399999994</v>
      </c>
      <c r="AD115" s="2">
        <f t="shared" si="71"/>
        <v>4.5659087999999937</v>
      </c>
      <c r="AE115" s="2">
        <f t="shared" si="71"/>
        <v>3.9951701999999938</v>
      </c>
      <c r="AF115" s="2">
        <f t="shared" si="71"/>
        <v>3.4244315999999939</v>
      </c>
      <c r="AG115" s="2">
        <f t="shared" si="71"/>
        <v>2.8536929999999994</v>
      </c>
    </row>
    <row r="116" spans="1:33" x14ac:dyDescent="0.25">
      <c r="A116" s="11" t="s">
        <v>22</v>
      </c>
      <c r="B116" s="11" t="s">
        <v>75</v>
      </c>
      <c r="C116" s="2">
        <f>C108</f>
        <v>18.974159999999998</v>
      </c>
      <c r="D116" s="2">
        <f t="shared" ref="D116:AG116" si="72">D108</f>
        <v>17.83038170575724</v>
      </c>
      <c r="E116" s="2">
        <f t="shared" si="72"/>
        <v>16.686603411514483</v>
      </c>
      <c r="F116" s="2">
        <f t="shared" si="72"/>
        <v>15.542825117271727</v>
      </c>
      <c r="G116" s="2">
        <f t="shared" si="72"/>
        <v>14.399046823028971</v>
      </c>
      <c r="H116" s="2">
        <f>H108</f>
        <v>13.255268528786216</v>
      </c>
      <c r="I116" s="2">
        <f t="shared" si="72"/>
        <v>12.11149023454346</v>
      </c>
      <c r="J116" s="2">
        <f t="shared" si="72"/>
        <v>10.967711940300704</v>
      </c>
      <c r="K116" s="2">
        <f t="shared" si="72"/>
        <v>9.8239336460579487</v>
      </c>
      <c r="L116" s="2">
        <f t="shared" si="72"/>
        <v>8.680155351815193</v>
      </c>
      <c r="M116" s="2">
        <f t="shared" si="72"/>
        <v>7.53637705757244</v>
      </c>
      <c r="N116" s="2">
        <f t="shared" si="72"/>
        <v>7.3879332670444979</v>
      </c>
      <c r="O116" s="2">
        <f t="shared" si="72"/>
        <v>7.2394894765165558</v>
      </c>
      <c r="P116" s="2">
        <f t="shared" si="72"/>
        <v>7.0910456859886137</v>
      </c>
      <c r="Q116" s="2">
        <f t="shared" si="72"/>
        <v>6.9426018954606716</v>
      </c>
      <c r="R116" s="2">
        <f t="shared" si="72"/>
        <v>6.7941581049327295</v>
      </c>
      <c r="S116" s="2">
        <f t="shared" si="72"/>
        <v>6.6457143144047874</v>
      </c>
      <c r="T116" s="2">
        <f t="shared" si="72"/>
        <v>6.4972705238768453</v>
      </c>
      <c r="U116" s="2">
        <f t="shared" si="72"/>
        <v>6.3488267333489032</v>
      </c>
      <c r="V116" s="2">
        <f t="shared" si="72"/>
        <v>6.2003829428209611</v>
      </c>
      <c r="W116" s="2">
        <f t="shared" si="72"/>
        <v>6.051939152293019</v>
      </c>
      <c r="X116" s="2">
        <f t="shared" si="72"/>
        <v>5.9034953617650769</v>
      </c>
      <c r="Y116" s="2">
        <f t="shared" si="72"/>
        <v>5.7550515712371348</v>
      </c>
      <c r="Z116" s="2">
        <f t="shared" si="72"/>
        <v>5.6066077807091927</v>
      </c>
      <c r="AA116" s="2">
        <f t="shared" si="72"/>
        <v>5.4581639901812506</v>
      </c>
      <c r="AB116" s="2">
        <f t="shared" si="72"/>
        <v>5.3097201996533085</v>
      </c>
      <c r="AC116" s="2">
        <f t="shared" si="72"/>
        <v>5.1612764091253664</v>
      </c>
      <c r="AD116" s="2">
        <f t="shared" si="72"/>
        <v>5.0128326185974244</v>
      </c>
      <c r="AE116" s="2">
        <f t="shared" si="72"/>
        <v>4.8643888280694823</v>
      </c>
      <c r="AF116" s="2">
        <f t="shared" si="72"/>
        <v>4.7159450375415402</v>
      </c>
      <c r="AG116" s="2">
        <f t="shared" si="72"/>
        <v>4.5675012470136007</v>
      </c>
    </row>
    <row r="117" spans="1:33" x14ac:dyDescent="0.2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row>
    <row r="118" spans="1:33" x14ac:dyDescent="0.25">
      <c r="A118" s="28" t="s">
        <v>22</v>
      </c>
      <c r="B118" s="28" t="s">
        <v>83</v>
      </c>
      <c r="C118" s="28">
        <f t="shared" ref="C118:AG118" ca="1" si="73">SUM(C111:C116)</f>
        <v>61872.765189600439</v>
      </c>
      <c r="D118" s="28">
        <f t="shared" ca="1" si="73"/>
        <v>60203.294912529018</v>
      </c>
      <c r="E118" s="28">
        <f t="shared" ca="1" si="73"/>
        <v>58533.824635457589</v>
      </c>
      <c r="F118" s="28">
        <f t="shared" ca="1" si="73"/>
        <v>56864.354358386161</v>
      </c>
      <c r="G118" s="28">
        <f t="shared" ca="1" si="73"/>
        <v>55194.884081314733</v>
      </c>
      <c r="H118" s="28">
        <f t="shared" ca="1" si="73"/>
        <v>53525.413804243311</v>
      </c>
      <c r="I118" s="28">
        <f t="shared" ca="1" si="73"/>
        <v>51855.943527171883</v>
      </c>
      <c r="J118" s="28">
        <f t="shared" ca="1" si="73"/>
        <v>50186.473250100447</v>
      </c>
      <c r="K118" s="28">
        <f t="shared" ca="1" si="73"/>
        <v>48517.002973029033</v>
      </c>
      <c r="L118" s="28">
        <f t="shared" ca="1" si="73"/>
        <v>46847.532695957598</v>
      </c>
      <c r="M118" s="28">
        <f t="shared" ca="1" si="73"/>
        <v>45178.062418886177</v>
      </c>
      <c r="N118" s="28">
        <f t="shared" ca="1" si="73"/>
        <v>43999.715727197647</v>
      </c>
      <c r="O118" s="28">
        <f t="shared" ca="1" si="73"/>
        <v>42821.369035509095</v>
      </c>
      <c r="P118" s="28">
        <f t="shared" ca="1" si="73"/>
        <v>41643.022343820565</v>
      </c>
      <c r="Q118" s="28">
        <f t="shared" ca="1" si="73"/>
        <v>40464.675652132028</v>
      </c>
      <c r="R118" s="28">
        <f t="shared" ca="1" si="73"/>
        <v>39286.328960443483</v>
      </c>
      <c r="S118" s="28">
        <f t="shared" ca="1" si="73"/>
        <v>38107.98226875496</v>
      </c>
      <c r="T118" s="28">
        <f t="shared" ca="1" si="73"/>
        <v>36929.635577066423</v>
      </c>
      <c r="U118" s="28">
        <f t="shared" ca="1" si="73"/>
        <v>35751.288885377893</v>
      </c>
      <c r="V118" s="28">
        <f t="shared" ca="1" si="73"/>
        <v>34572.942193689363</v>
      </c>
      <c r="W118" s="28">
        <f t="shared" ca="1" si="73"/>
        <v>33394.595502000826</v>
      </c>
      <c r="X118" s="28">
        <f t="shared" ca="1" si="73"/>
        <v>32216.248810312296</v>
      </c>
      <c r="Y118" s="28">
        <f t="shared" ca="1" si="73"/>
        <v>31037.902118623759</v>
      </c>
      <c r="Z118" s="28">
        <f t="shared" ca="1" si="73"/>
        <v>29859.555426935225</v>
      </c>
      <c r="AA118" s="28">
        <f t="shared" ca="1" si="73"/>
        <v>28681.208735246688</v>
      </c>
      <c r="AB118" s="28">
        <f t="shared" ca="1" si="73"/>
        <v>27502.862043558151</v>
      </c>
      <c r="AC118" s="28">
        <f t="shared" ca="1" si="73"/>
        <v>26324.515351869621</v>
      </c>
      <c r="AD118" s="28">
        <f t="shared" ca="1" si="73"/>
        <v>25146.168660181087</v>
      </c>
      <c r="AE118" s="28">
        <f t="shared" ca="1" si="73"/>
        <v>23967.821968492553</v>
      </c>
      <c r="AF118" s="28">
        <f t="shared" ca="1" si="73"/>
        <v>22789.47527680402</v>
      </c>
      <c r="AG118" s="28">
        <f t="shared" ca="1" si="73"/>
        <v>21611.128585115486</v>
      </c>
    </row>
  </sheetData>
  <pageMargins left="0.7" right="0.7" top="0.75" bottom="0.75" header="0.3" footer="0.3"/>
  <pageSetup paperSize="9" orientation="portrait" r:id="rId1"/>
  <headerFooter>
    <oddHeader>&amp;C&amp;"Calibri"&amp;10&amp;K000000[UNCLASSIFIED]&amp;1#</oddHeader>
    <oddFooter>&amp;C&amp;1#&amp;"Calibri"&amp;10&amp;K000000[UNCLASSIFIED]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6DA4B2D-03C7-4B1A-8FCB-19467AB812EA}">
          <x14:formula1>
            <xm:f>'NZ emissions AR4'!$C$16:$D$16</xm:f>
          </x14:formula1>
          <xm:sqref>A4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7B9A1-E025-4DEB-A676-940908C9FF6C}">
  <sheetPr>
    <tabColor rgb="FF92D050"/>
  </sheetPr>
  <dimension ref="A3:Q43"/>
  <sheetViews>
    <sheetView workbookViewId="0">
      <selection activeCell="G12" sqref="G12"/>
    </sheetView>
  </sheetViews>
  <sheetFormatPr defaultRowHeight="15" x14ac:dyDescent="0.25"/>
  <cols>
    <col min="1" max="1" width="9.5703125" bestFit="1" customWidth="1"/>
    <col min="17" max="17" width="12" bestFit="1" customWidth="1"/>
  </cols>
  <sheetData>
    <row r="3" spans="1:17" ht="18.75" x14ac:dyDescent="0.3">
      <c r="A3" s="87" t="s">
        <v>257</v>
      </c>
      <c r="C3" s="11"/>
    </row>
    <row r="5" spans="1:17" x14ac:dyDescent="0.25">
      <c r="A5" s="1" t="s">
        <v>258</v>
      </c>
    </row>
    <row r="6" spans="1:17" x14ac:dyDescent="0.25">
      <c r="A6" s="31">
        <v>567700.79344604805</v>
      </c>
      <c r="B6" t="s">
        <v>22</v>
      </c>
    </row>
    <row r="7" spans="1:17" x14ac:dyDescent="0.25">
      <c r="I7" s="5"/>
    </row>
    <row r="8" spans="1:17" x14ac:dyDescent="0.25">
      <c r="J8" s="5"/>
    </row>
    <row r="9" spans="1:17" ht="18.75" x14ac:dyDescent="0.3">
      <c r="A9" s="87" t="s">
        <v>106</v>
      </c>
      <c r="K9" s="5"/>
    </row>
    <row r="10" spans="1:17" x14ac:dyDescent="0.25">
      <c r="K10" t="s">
        <v>84</v>
      </c>
      <c r="L10" s="5"/>
    </row>
    <row r="11" spans="1:17" x14ac:dyDescent="0.25">
      <c r="A11" s="1" t="s">
        <v>259</v>
      </c>
      <c r="M11" s="5"/>
    </row>
    <row r="12" spans="1:17" x14ac:dyDescent="0.25">
      <c r="A12" s="34">
        <f>A38</f>
        <v>36.237610092111716</v>
      </c>
      <c r="N12" s="5"/>
    </row>
    <row r="13" spans="1:17" x14ac:dyDescent="0.25">
      <c r="O13" s="5"/>
    </row>
    <row r="14" spans="1:17" x14ac:dyDescent="0.25">
      <c r="A14" s="1" t="s">
        <v>260</v>
      </c>
      <c r="H14" s="5"/>
      <c r="P14" s="5"/>
    </row>
    <row r="15" spans="1:17" x14ac:dyDescent="0.25">
      <c r="A15" s="34">
        <f>A42</f>
        <v>19.244926776576289</v>
      </c>
      <c r="H15" s="5"/>
      <c r="Q15" s="5"/>
    </row>
    <row r="16" spans="1:17" x14ac:dyDescent="0.25">
      <c r="C16" s="27"/>
      <c r="D16" s="27"/>
      <c r="E16" s="27"/>
    </row>
    <row r="18" spans="1:2" x14ac:dyDescent="0.25">
      <c r="A18" s="1" t="s">
        <v>261</v>
      </c>
    </row>
    <row r="19" spans="1:2" x14ac:dyDescent="0.25">
      <c r="A19" s="97" t="str">
        <f>'NDC tool'!A4</f>
        <v>AR4</v>
      </c>
    </row>
    <row r="23" spans="1:2" ht="18.75" x14ac:dyDescent="0.3">
      <c r="A23" s="87" t="s">
        <v>249</v>
      </c>
    </row>
    <row r="26" spans="1:2" x14ac:dyDescent="0.25">
      <c r="A26" t="s">
        <v>27</v>
      </c>
    </row>
    <row r="27" spans="1:2" x14ac:dyDescent="0.25">
      <c r="A27">
        <f>0.95*IF('NDC tool'!B4=2,'NZ emissions AR4'!H2,IF('NDC tool'!B4=3,'NZ emissions AR5'!H2))</f>
        <v>61872.765189600446</v>
      </c>
      <c r="B27" t="s">
        <v>22</v>
      </c>
    </row>
    <row r="29" spans="1:2" x14ac:dyDescent="0.25">
      <c r="A29" t="s">
        <v>262</v>
      </c>
    </row>
    <row r="30" spans="1:2" x14ac:dyDescent="0.25">
      <c r="A30">
        <f>(A6-10*A27)/55</f>
        <v>-927.76106272648008</v>
      </c>
      <c r="B30" s="11" t="s">
        <v>22</v>
      </c>
    </row>
    <row r="32" spans="1:2" x14ac:dyDescent="0.25">
      <c r="A32" t="s">
        <v>263</v>
      </c>
    </row>
    <row r="33" spans="1:12" x14ac:dyDescent="0.25">
      <c r="A33">
        <v>2021</v>
      </c>
      <c r="B33">
        <f>A33+1</f>
        <v>2022</v>
      </c>
      <c r="C33">
        <f t="shared" ref="C33:J33" si="0">B33+1</f>
        <v>2023</v>
      </c>
      <c r="D33">
        <f t="shared" si="0"/>
        <v>2024</v>
      </c>
      <c r="E33">
        <f t="shared" si="0"/>
        <v>2025</v>
      </c>
      <c r="F33">
        <f t="shared" si="0"/>
        <v>2026</v>
      </c>
      <c r="G33">
        <f t="shared" si="0"/>
        <v>2027</v>
      </c>
      <c r="H33">
        <f t="shared" si="0"/>
        <v>2028</v>
      </c>
      <c r="I33">
        <f t="shared" si="0"/>
        <v>2029</v>
      </c>
      <c r="J33">
        <f t="shared" si="0"/>
        <v>2030</v>
      </c>
      <c r="L33" s="19" t="s">
        <v>264</v>
      </c>
    </row>
    <row r="34" spans="1:12" x14ac:dyDescent="0.25">
      <c r="A34">
        <f>A27+$A$30</f>
        <v>60945.004126873966</v>
      </c>
      <c r="B34">
        <f t="shared" ref="B34:J34" si="1">A34+$A$30</f>
        <v>60017.243064147486</v>
      </c>
      <c r="C34">
        <f t="shared" si="1"/>
        <v>59089.482001421005</v>
      </c>
      <c r="D34">
        <f t="shared" si="1"/>
        <v>58161.720938694525</v>
      </c>
      <c r="E34">
        <f t="shared" si="1"/>
        <v>57233.959875968045</v>
      </c>
      <c r="F34">
        <f t="shared" si="1"/>
        <v>56306.198813241564</v>
      </c>
      <c r="G34">
        <f t="shared" si="1"/>
        <v>55378.437750515084</v>
      </c>
      <c r="H34">
        <f t="shared" si="1"/>
        <v>54450.676687788604</v>
      </c>
      <c r="I34">
        <f t="shared" si="1"/>
        <v>53522.915625062124</v>
      </c>
      <c r="J34">
        <f t="shared" si="1"/>
        <v>52595.154562335643</v>
      </c>
      <c r="L34">
        <f>SUM(A34:J34)</f>
        <v>567700.79344604805</v>
      </c>
    </row>
    <row r="35" spans="1:12" x14ac:dyDescent="0.25">
      <c r="L35" s="11" t="b">
        <f>L34=A6</f>
        <v>1</v>
      </c>
    </row>
    <row r="37" spans="1:12" x14ac:dyDescent="0.25">
      <c r="A37" t="s">
        <v>273</v>
      </c>
    </row>
    <row r="38" spans="1:12" x14ac:dyDescent="0.25">
      <c r="A38" s="98">
        <f>100*(1-J34/IF('NDC tool'!B4=2,'NZ emissions AR4'!H17,IF('NDC tool'!B4=3,'NZ emissions AR5'!H17)))</f>
        <v>36.237610092111716</v>
      </c>
    </row>
    <row r="39" spans="1:12" x14ac:dyDescent="0.25">
      <c r="A39" s="11"/>
    </row>
    <row r="40" spans="1:12" x14ac:dyDescent="0.25">
      <c r="A40" s="11"/>
    </row>
    <row r="41" spans="1:12" x14ac:dyDescent="0.25">
      <c r="A41" s="11" t="s">
        <v>272</v>
      </c>
    </row>
    <row r="42" spans="1:12" x14ac:dyDescent="0.25">
      <c r="A42" s="98">
        <f>100*(1-J34/IF('NDC tool'!B4=2,'NZ emissions AR4'!H2,IF('NDC tool'!B4=3,'NZ emissions AR5'!H2)))</f>
        <v>19.244926776576289</v>
      </c>
    </row>
    <row r="43" spans="1:12" x14ac:dyDescent="0.25">
      <c r="A43" s="11"/>
    </row>
  </sheetData>
  <conditionalFormatting sqref="L35">
    <cfRule type="cellIs" dxfId="9" priority="1" operator="equal">
      <formula>TRUE</formula>
    </cfRule>
    <cfRule type="cellIs" dxfId="8" priority="2" operator="equal">
      <formula>FALSE</formula>
    </cfRule>
  </conditionalFormatting>
  <pageMargins left="0.7" right="0.7" top="0.75" bottom="0.75" header="0.3" footer="0.3"/>
  <pageSetup paperSize="9" orientation="portrait" r:id="rId1"/>
  <headerFooter>
    <oddHeader>&amp;C&amp;"Calibri"&amp;10&amp;K000000[UNCLASSIFIED]&amp;1#</oddHeader>
    <oddFooter>&amp;C&amp;1#&amp;"Calibri"&amp;10&amp;K000000[UNCLASSIFIED]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15D7E-4C94-49B1-8B2E-D125B1267B19}">
  <sheetPr>
    <tabColor rgb="FFFFC000"/>
  </sheetPr>
  <dimension ref="A1:M28"/>
  <sheetViews>
    <sheetView topLeftCell="A2" workbookViewId="0">
      <selection activeCell="B14" sqref="B14"/>
    </sheetView>
  </sheetViews>
  <sheetFormatPr defaultRowHeight="15" x14ac:dyDescent="0.25"/>
  <cols>
    <col min="2" max="2" width="22" customWidth="1"/>
    <col min="3" max="3" width="10.5703125" bestFit="1" customWidth="1"/>
    <col min="4" max="4" width="9.140625" customWidth="1"/>
    <col min="10" max="10" width="9.140625" customWidth="1"/>
    <col min="11" max="11" width="49.140625" customWidth="1"/>
    <col min="12" max="12" width="16.28515625" customWidth="1"/>
    <col min="13" max="13" width="15.140625" customWidth="1"/>
  </cols>
  <sheetData>
    <row r="1" spans="1:8" x14ac:dyDescent="0.25">
      <c r="A1" s="78" t="s">
        <v>238</v>
      </c>
    </row>
    <row r="2" spans="1:8" x14ac:dyDescent="0.25">
      <c r="C2" t="s">
        <v>76</v>
      </c>
    </row>
    <row r="3" spans="1:8" x14ac:dyDescent="0.25">
      <c r="C3" t="s">
        <v>87</v>
      </c>
      <c r="D3" s="11" t="s">
        <v>88</v>
      </c>
      <c r="E3" s="11" t="s">
        <v>89</v>
      </c>
    </row>
    <row r="4" spans="1:8" x14ac:dyDescent="0.25">
      <c r="B4" t="s">
        <v>86</v>
      </c>
      <c r="C4" s="32">
        <f>SUM('Demonstration path'!AI9:AL9)/1000</f>
        <v>278.01593659463708</v>
      </c>
      <c r="D4" s="32">
        <f>SUM('Demonstration path'!AM9:AQ9)/1000</f>
        <v>298.31471992298327</v>
      </c>
      <c r="E4" s="32">
        <f>SUM('Demonstration path'!AR9:AV9)/1000</f>
        <v>239.70925967547322</v>
      </c>
    </row>
    <row r="5" spans="1:8" x14ac:dyDescent="0.25">
      <c r="B5" t="s">
        <v>91</v>
      </c>
      <c r="C5" s="32">
        <f>'Demonstration path'!AH9/1000</f>
        <v>71.501083903294315</v>
      </c>
    </row>
    <row r="6" spans="1:8" s="11" customFormat="1" x14ac:dyDescent="0.25">
      <c r="B6" s="11" t="s">
        <v>28</v>
      </c>
      <c r="C6" s="32">
        <f>'NDC tool'!A12/1000</f>
        <v>595.99920526098651</v>
      </c>
      <c r="E6" s="27"/>
      <c r="G6" s="77" t="str">
        <f>IF('NDC tool'!B4=2,"",IF('NDC tool'!B4=3,'Tables in advice report'!A1))</f>
        <v/>
      </c>
    </row>
    <row r="7" spans="1:8" x14ac:dyDescent="0.25">
      <c r="B7" t="s">
        <v>92</v>
      </c>
      <c r="C7" s="32">
        <f>SUM(C4:D5)</f>
        <v>647.83174042091468</v>
      </c>
      <c r="D7" s="27"/>
      <c r="E7" s="27"/>
      <c r="F7" s="27"/>
    </row>
    <row r="8" spans="1:8" x14ac:dyDescent="0.25">
      <c r="B8" t="s">
        <v>90</v>
      </c>
      <c r="C8" s="32">
        <f ca="1">'NDC tool'!B16/1000</f>
        <v>567.70079344604801</v>
      </c>
      <c r="D8" s="27"/>
    </row>
    <row r="9" spans="1:8" s="11" customFormat="1" x14ac:dyDescent="0.25">
      <c r="B9" s="11" t="s">
        <v>100</v>
      </c>
      <c r="C9" s="32">
        <f ca="1">'NDC tool'!C16/1000</f>
        <v>526.90678665707583</v>
      </c>
    </row>
    <row r="10" spans="1:8" x14ac:dyDescent="0.25">
      <c r="B10" t="s">
        <v>226</v>
      </c>
      <c r="C10" s="32">
        <f ca="1">C7-C8</f>
        <v>80.130946974866674</v>
      </c>
      <c r="F10" s="11"/>
      <c r="G10" s="11"/>
      <c r="H10" s="11"/>
    </row>
    <row r="11" spans="1:8" s="11" customFormat="1" x14ac:dyDescent="0.25">
      <c r="B11" s="11" t="s">
        <v>227</v>
      </c>
      <c r="C11" s="32">
        <f ca="1">C7-C9</f>
        <v>120.92495376383886</v>
      </c>
    </row>
    <row r="12" spans="1:8" x14ac:dyDescent="0.25">
      <c r="C12" t="s">
        <v>93</v>
      </c>
      <c r="F12" s="11"/>
      <c r="G12" s="11"/>
      <c r="H12" s="11"/>
    </row>
    <row r="13" spans="1:8" x14ac:dyDescent="0.25">
      <c r="B13" t="s">
        <v>244</v>
      </c>
      <c r="C13" s="3">
        <v>1.8</v>
      </c>
    </row>
    <row r="14" spans="1:8" x14ac:dyDescent="0.25">
      <c r="B14" t="s">
        <v>239</v>
      </c>
      <c r="C14" s="3">
        <v>1</v>
      </c>
    </row>
    <row r="15" spans="1:8" s="11" customFormat="1" x14ac:dyDescent="0.25"/>
    <row r="16" spans="1:8" s="11" customFormat="1" x14ac:dyDescent="0.25">
      <c r="A16" s="11" t="s">
        <v>241</v>
      </c>
    </row>
    <row r="17" spans="1:13" ht="15.75" thickBot="1" x14ac:dyDescent="0.3">
      <c r="A17" t="s">
        <v>225</v>
      </c>
      <c r="C17" s="1" t="s">
        <v>85</v>
      </c>
      <c r="K17" t="s">
        <v>243</v>
      </c>
    </row>
    <row r="18" spans="1:13" ht="60.75" thickBot="1" x14ac:dyDescent="0.3">
      <c r="B18" s="83" t="s">
        <v>221</v>
      </c>
      <c r="C18" s="24">
        <v>30</v>
      </c>
      <c r="D18" s="24">
        <v>70</v>
      </c>
      <c r="E18" s="24">
        <v>140</v>
      </c>
      <c r="K18" s="26" t="s">
        <v>94</v>
      </c>
      <c r="L18" s="26" t="s">
        <v>97</v>
      </c>
      <c r="M18" s="26" t="s">
        <v>99</v>
      </c>
    </row>
    <row r="19" spans="1:13" ht="15.75" thickBot="1" x14ac:dyDescent="0.3">
      <c r="B19" s="84" t="s">
        <v>222</v>
      </c>
      <c r="C19" s="25" t="str">
        <f ca="1">CONCATENATE("$",ROUND($C$10*C18/1000,$C$14),"b")</f>
        <v>$2.4b</v>
      </c>
      <c r="D19" s="25" t="str">
        <f ca="1">CONCATENATE("$",ROUND($C$10*D18/1000,$C$14),"b")</f>
        <v>$5.6b</v>
      </c>
      <c r="E19" s="25" t="str">
        <f ca="1">CONCATENATE("$",ROUND($C$10*E18/1000,$C$14),"b")</f>
        <v>$11.2b</v>
      </c>
      <c r="K19" s="26" t="s">
        <v>95</v>
      </c>
      <c r="L19" s="33">
        <v>601</v>
      </c>
      <c r="M19" s="33">
        <f>C7-L19</f>
        <v>46.831740420914684</v>
      </c>
    </row>
    <row r="20" spans="1:13" ht="15.75" thickBot="1" x14ac:dyDescent="0.3">
      <c r="B20" s="84" t="s">
        <v>223</v>
      </c>
      <c r="C20" s="25" t="str">
        <f ca="1">CONCATENATE("$",ROUND($C$10*C18*$C$13/1000,$C$14),"b")</f>
        <v>$4.3b</v>
      </c>
      <c r="D20" s="25" t="str">
        <f ca="1">CONCATENATE("$",ROUND($C$10*D18*$C$13/1000,$C$14),"b")</f>
        <v>$10.1b</v>
      </c>
      <c r="E20" s="25" t="str">
        <f ca="1">CONCATENATE("$",ROUND($C$10*E18*$C$13/1000,$C$14),"b")</f>
        <v>$20.2b</v>
      </c>
      <c r="K20" s="26" t="s">
        <v>96</v>
      </c>
      <c r="L20" s="33">
        <f>C6</f>
        <v>595.99920526098651</v>
      </c>
      <c r="M20" s="33">
        <f>C7-C6</f>
        <v>51.83253515992817</v>
      </c>
    </row>
    <row r="21" spans="1:13" ht="34.5" customHeight="1" x14ac:dyDescent="0.25">
      <c r="K21" s="26" t="s">
        <v>98</v>
      </c>
      <c r="L21" s="33">
        <f ca="1">C8</f>
        <v>567.70079344604801</v>
      </c>
      <c r="M21" s="33">
        <f ca="1">C10</f>
        <v>80.130946974866674</v>
      </c>
    </row>
    <row r="22" spans="1:13" ht="37.5" customHeight="1" x14ac:dyDescent="0.25">
      <c r="F22" s="11"/>
      <c r="K22" s="26" t="s">
        <v>240</v>
      </c>
      <c r="L22" s="33">
        <f ca="1">C9</f>
        <v>526.90678665707583</v>
      </c>
      <c r="M22" s="33">
        <f ca="1">C7-L22</f>
        <v>120.92495376383886</v>
      </c>
    </row>
    <row r="23" spans="1:13" x14ac:dyDescent="0.25">
      <c r="F23" s="11"/>
    </row>
    <row r="24" spans="1:13" x14ac:dyDescent="0.25">
      <c r="A24" t="s">
        <v>242</v>
      </c>
      <c r="F24" s="11"/>
    </row>
    <row r="25" spans="1:13" ht="15.75" thickBot="1" x14ac:dyDescent="0.3">
      <c r="A25" t="s">
        <v>224</v>
      </c>
      <c r="F25" s="11"/>
    </row>
    <row r="26" spans="1:13" ht="30.75" thickBot="1" x14ac:dyDescent="0.3">
      <c r="B26" s="83" t="s">
        <v>221</v>
      </c>
      <c r="C26" s="24">
        <v>30</v>
      </c>
      <c r="D26" s="24">
        <v>70</v>
      </c>
      <c r="E26" s="24">
        <v>140</v>
      </c>
    </row>
    <row r="27" spans="1:13" ht="15.75" thickBot="1" x14ac:dyDescent="0.3">
      <c r="B27" s="84" t="s">
        <v>222</v>
      </c>
      <c r="C27" s="25" t="str">
        <f ca="1">CONCATENATE("$",ROUND($C$11*C26/1000,$C$14),"b")</f>
        <v>$3.6b</v>
      </c>
      <c r="D27" s="25" t="str">
        <f ca="1">CONCATENATE("$",ROUND($C$11*D26/1000,$C$14),"b")</f>
        <v>$8.5b</v>
      </c>
      <c r="E27" s="25" t="str">
        <f ca="1">CONCATENATE("$",ROUND($C$11*E26/1000,$C$14),"b")</f>
        <v>$16.9b</v>
      </c>
    </row>
    <row r="28" spans="1:13" ht="15.75" thickBot="1" x14ac:dyDescent="0.3">
      <c r="B28" s="84" t="s">
        <v>223</v>
      </c>
      <c r="C28" s="25" t="str">
        <f ca="1">CONCATENATE("$",ROUND($C$11*C26*$C$13/1000,$C$14),"b")</f>
        <v>$6.5b</v>
      </c>
      <c r="D28" s="25" t="str">
        <f ca="1">CONCATENATE("$",ROUND($C$11*D26*$C$13/1000,$C$14),"b")</f>
        <v>$15.2b</v>
      </c>
      <c r="E28" s="25" t="str">
        <f ca="1">CONCATENATE("$",ROUND($C$11*E26*$C$13/1000,$C$14),"b")</f>
        <v>$30.5b</v>
      </c>
    </row>
  </sheetData>
  <conditionalFormatting sqref="G6">
    <cfRule type="containsText" dxfId="7" priority="1" operator="containsText" text="AR5">
      <formula>NOT(ISERROR(SEARCH("AR5",G6)))</formula>
    </cfRule>
    <cfRule type="expression" dxfId="6" priority="3">
      <formula>"ISTEXT($G$6)"</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CF380-135A-47F3-A1E5-5762F7D6CBBE}">
  <sheetPr>
    <tabColor rgb="FFFFC000"/>
  </sheetPr>
  <dimension ref="C2:R60"/>
  <sheetViews>
    <sheetView workbookViewId="0">
      <selection activeCell="F4" sqref="F4"/>
    </sheetView>
  </sheetViews>
  <sheetFormatPr defaultRowHeight="15" x14ac:dyDescent="0.25"/>
  <cols>
    <col min="3" max="3" width="21.5703125" customWidth="1"/>
    <col min="4" max="5" width="13.7109375" bestFit="1" customWidth="1"/>
    <col min="6" max="6" width="14.7109375" bestFit="1" customWidth="1"/>
    <col min="7" max="8" width="13.7109375" bestFit="1" customWidth="1"/>
    <col min="11" max="11" width="9.42578125" bestFit="1" customWidth="1"/>
    <col min="13" max="13" width="34.7109375" customWidth="1"/>
    <col min="14" max="14" width="24" customWidth="1"/>
    <col min="15" max="15" width="23.42578125" customWidth="1"/>
  </cols>
  <sheetData>
    <row r="2" spans="3:15" x14ac:dyDescent="0.25">
      <c r="C2" s="11"/>
      <c r="D2" s="11"/>
    </row>
    <row r="4" spans="3:15" ht="15.75" thickBot="1" x14ac:dyDescent="0.3">
      <c r="C4" t="s">
        <v>267</v>
      </c>
      <c r="M4" t="s">
        <v>265</v>
      </c>
    </row>
    <row r="5" spans="3:15" ht="45" customHeight="1" thickBot="1" x14ac:dyDescent="0.3">
      <c r="C5" s="48"/>
      <c r="D5" s="140" t="s">
        <v>141</v>
      </c>
      <c r="E5" s="141"/>
      <c r="F5" s="140" t="s">
        <v>142</v>
      </c>
      <c r="G5" s="142"/>
      <c r="H5" s="141"/>
      <c r="M5" s="145"/>
      <c r="N5" s="138" t="s">
        <v>167</v>
      </c>
      <c r="O5" s="139"/>
    </row>
    <row r="6" spans="3:15" ht="90" customHeight="1" thickBot="1" x14ac:dyDescent="0.3">
      <c r="C6" s="143"/>
      <c r="D6" s="49" t="s">
        <v>143</v>
      </c>
      <c r="E6" s="49" t="s">
        <v>145</v>
      </c>
      <c r="F6" s="49" t="s">
        <v>146</v>
      </c>
      <c r="G6" s="49" t="s">
        <v>147</v>
      </c>
      <c r="H6" s="49" t="s">
        <v>149</v>
      </c>
      <c r="M6" s="146"/>
      <c r="N6" s="53" t="s">
        <v>80</v>
      </c>
      <c r="O6" s="53" t="s">
        <v>79</v>
      </c>
    </row>
    <row r="7" spans="3:15" ht="15.75" thickBot="1" x14ac:dyDescent="0.3">
      <c r="C7" s="144"/>
      <c r="D7" s="50" t="s">
        <v>144</v>
      </c>
      <c r="E7" s="50" t="s">
        <v>144</v>
      </c>
      <c r="F7" s="50" t="s">
        <v>144</v>
      </c>
      <c r="G7" s="50" t="s">
        <v>148</v>
      </c>
      <c r="H7" s="50" t="s">
        <v>144</v>
      </c>
      <c r="M7" s="51" t="s">
        <v>168</v>
      </c>
      <c r="N7" s="64">
        <v>-0.4</v>
      </c>
      <c r="O7" s="64">
        <v>-0.57999999999999996</v>
      </c>
    </row>
    <row r="8" spans="3:15" ht="15.75" thickBot="1" x14ac:dyDescent="0.3">
      <c r="C8" s="51" t="s">
        <v>266</v>
      </c>
      <c r="D8" s="52">
        <f>'NZ emissions AR4'!M2</f>
        <v>25649.309105770299</v>
      </c>
      <c r="E8" s="52">
        <f>'NDC tool'!B42</f>
        <v>24366.843650481784</v>
      </c>
      <c r="F8" s="52">
        <f>'NDC tool'!B34</f>
        <v>35031.266478375284</v>
      </c>
      <c r="G8" s="52">
        <f>'NDC tool'!B56</f>
        <v>21018.759887025171</v>
      </c>
      <c r="H8" s="52">
        <f>'NDC tool'!B66</f>
        <v>14713.131920917618</v>
      </c>
      <c r="M8" s="51" t="s">
        <v>169</v>
      </c>
      <c r="N8" s="64">
        <v>-0.11</v>
      </c>
      <c r="O8" s="64">
        <v>-0.3</v>
      </c>
    </row>
    <row r="9" spans="3:15" ht="15.75" thickBot="1" x14ac:dyDescent="0.3">
      <c r="C9" s="51" t="s">
        <v>150</v>
      </c>
      <c r="D9" s="52">
        <f>'NZ emissions AR4'!Q2/'NZ emissions AR4'!C18</f>
        <v>1311.8113790887821</v>
      </c>
      <c r="E9" s="52">
        <f>'NDC tool'!B43</f>
        <v>1246.2208101343429</v>
      </c>
      <c r="F9" s="52">
        <f>'NDC tool'!B35</f>
        <v>1380.7425364131943</v>
      </c>
      <c r="G9" s="52">
        <f>'NDC tool'!B57</f>
        <v>1228.860857407743</v>
      </c>
      <c r="H9" s="52">
        <f>'NDC tool'!B67</f>
        <v>966.51977548923605</v>
      </c>
      <c r="M9" s="51" t="s">
        <v>170</v>
      </c>
      <c r="N9" s="64">
        <v>0.03</v>
      </c>
      <c r="O9" s="64">
        <v>-0.21</v>
      </c>
    </row>
    <row r="10" spans="3:15" ht="15.75" thickBot="1" x14ac:dyDescent="0.3">
      <c r="C10" s="51" t="s">
        <v>151</v>
      </c>
      <c r="D10" s="54">
        <f>'NZ emissions AR4'!V2/'NZ emissions AR4'!C19</f>
        <v>19.311110014694769</v>
      </c>
      <c r="E10" s="54">
        <f>'NDC tool'!B44</f>
        <v>18.345554513960028</v>
      </c>
      <c r="F10" s="54">
        <f>'NDC tool'!B36</f>
        <v>25.647227261214152</v>
      </c>
      <c r="G10" s="54">
        <f>'NDC tool'!B58</f>
        <v>26.416644079050574</v>
      </c>
      <c r="H10" s="54">
        <f>'NDC tool'!B68</f>
        <v>20.261309536359178</v>
      </c>
      <c r="M10" s="51" t="s">
        <v>171</v>
      </c>
      <c r="N10" s="64">
        <v>-0.65</v>
      </c>
      <c r="O10" s="64">
        <v>-0.77</v>
      </c>
    </row>
    <row r="11" spans="3:15" ht="15.75" thickBot="1" x14ac:dyDescent="0.3">
      <c r="C11" s="99" t="s">
        <v>268</v>
      </c>
      <c r="M11" s="51" t="s">
        <v>172</v>
      </c>
      <c r="N11" s="64">
        <v>-0.59</v>
      </c>
      <c r="O11" s="64">
        <v>-0.7</v>
      </c>
    </row>
    <row r="12" spans="3:15" ht="15.75" thickBot="1" x14ac:dyDescent="0.3">
      <c r="M12" s="51" t="s">
        <v>173</v>
      </c>
      <c r="N12" s="64">
        <v>-0.49</v>
      </c>
      <c r="O12" s="64">
        <v>-0.67</v>
      </c>
    </row>
    <row r="13" spans="3:15" ht="15.75" thickBot="1" x14ac:dyDescent="0.3">
      <c r="C13" s="100" t="s">
        <v>269</v>
      </c>
    </row>
    <row r="14" spans="3:15" ht="15.75" thickBot="1" x14ac:dyDescent="0.3">
      <c r="C14" s="48"/>
      <c r="D14" s="140" t="s">
        <v>141</v>
      </c>
      <c r="E14" s="141"/>
      <c r="F14" s="140" t="s">
        <v>142</v>
      </c>
      <c r="G14" s="142"/>
      <c r="H14" s="141"/>
    </row>
    <row r="15" spans="3:15" ht="60" x14ac:dyDescent="0.25">
      <c r="C15" s="143"/>
      <c r="D15" s="49" t="s">
        <v>143</v>
      </c>
      <c r="E15" s="49" t="s">
        <v>145</v>
      </c>
      <c r="F15" s="49" t="s">
        <v>146</v>
      </c>
      <c r="G15" s="49" t="s">
        <v>147</v>
      </c>
      <c r="H15" s="49" t="s">
        <v>149</v>
      </c>
    </row>
    <row r="16" spans="3:15" ht="15.75" thickBot="1" x14ac:dyDescent="0.3">
      <c r="C16" s="144"/>
      <c r="D16" s="50" t="s">
        <v>155</v>
      </c>
      <c r="E16" s="50" t="s">
        <v>155</v>
      </c>
      <c r="F16" s="50" t="s">
        <v>155</v>
      </c>
      <c r="G16" s="50" t="s">
        <v>155</v>
      </c>
      <c r="H16" s="50" t="s">
        <v>155</v>
      </c>
    </row>
    <row r="17" spans="3:18" ht="15.75" thickBot="1" x14ac:dyDescent="0.3">
      <c r="C17" s="48" t="s">
        <v>153</v>
      </c>
      <c r="D17" s="55">
        <f>'NZ emissions AR4'!Z2</f>
        <v>0</v>
      </c>
      <c r="E17" s="55">
        <f>'NDC tool'!B45</f>
        <v>0</v>
      </c>
      <c r="F17" s="55">
        <f>'NZ emissions AR4'!Z22</f>
        <v>1053.3088123697455</v>
      </c>
      <c r="G17" s="55">
        <f>'NDC tool'!B59</f>
        <v>368.65808432941094</v>
      </c>
      <c r="H17" s="55">
        <f>'NDC tool'!B69</f>
        <v>242.26102684504144</v>
      </c>
      <c r="N17" s="11"/>
      <c r="O17" s="17"/>
      <c r="P17" s="11"/>
      <c r="Q17" s="11"/>
      <c r="R17" s="11"/>
    </row>
    <row r="18" spans="3:18" ht="15.75" thickBot="1" x14ac:dyDescent="0.3">
      <c r="C18" s="51" t="s">
        <v>152</v>
      </c>
      <c r="D18" s="55">
        <f>'NZ emissions AR4'!AD2</f>
        <v>909.9493480000001</v>
      </c>
      <c r="E18" s="55">
        <f>'NDC tool'!B46</f>
        <v>864.4518806000001</v>
      </c>
      <c r="F18" s="55">
        <f>'NZ emissions AR4'!AD22</f>
        <v>47.561549999999997</v>
      </c>
      <c r="G18" s="55">
        <f>'NDC tool'!B60</f>
        <v>19.500235499999999</v>
      </c>
      <c r="H18" s="55">
        <f>'NDC tool'!B70</f>
        <v>14.268464999999999</v>
      </c>
      <c r="N18" s="17"/>
      <c r="O18" s="17"/>
      <c r="P18" s="17"/>
      <c r="Q18" s="17"/>
      <c r="R18" s="17"/>
    </row>
    <row r="19" spans="3:18" ht="15.75" thickBot="1" x14ac:dyDescent="0.3">
      <c r="C19" s="51" t="s">
        <v>154</v>
      </c>
      <c r="D19" s="55">
        <f>'NZ emissions AR4'!AH2</f>
        <v>19.972799999999999</v>
      </c>
      <c r="E19" s="55">
        <f>'NDC tool'!B47</f>
        <v>18.974159999999998</v>
      </c>
      <c r="F19" s="55">
        <f>'NZ emissions AR4'!AH22</f>
        <v>22.837506235068002</v>
      </c>
      <c r="G19" s="55">
        <f>'NDC tool'!B61</f>
        <v>11.64712817988468</v>
      </c>
      <c r="H19" s="55">
        <f>'NDC tool'!B71</f>
        <v>7.53637705757244</v>
      </c>
      <c r="N19" s="17"/>
      <c r="O19" s="17"/>
      <c r="P19" s="17"/>
      <c r="Q19" s="17"/>
      <c r="R19" s="17"/>
    </row>
    <row r="20" spans="3:18" x14ac:dyDescent="0.25">
      <c r="N20" s="17"/>
      <c r="O20" s="17"/>
      <c r="P20" s="17"/>
      <c r="Q20" s="11"/>
      <c r="R20" s="11"/>
    </row>
    <row r="21" spans="3:18" x14ac:dyDescent="0.25">
      <c r="N21" s="17"/>
      <c r="O21" s="17"/>
      <c r="P21" s="17"/>
      <c r="Q21" s="11"/>
      <c r="R21" s="11"/>
    </row>
    <row r="22" spans="3:18" x14ac:dyDescent="0.25">
      <c r="N22" s="11"/>
      <c r="O22" s="17"/>
      <c r="P22" s="11"/>
      <c r="Q22" s="11"/>
      <c r="R22" s="11"/>
    </row>
    <row r="23" spans="3:18" ht="15.75" thickBot="1" x14ac:dyDescent="0.3">
      <c r="C23" t="s">
        <v>270</v>
      </c>
    </row>
    <row r="24" spans="3:18" ht="15.75" thickBot="1" x14ac:dyDescent="0.3">
      <c r="C24" s="63"/>
      <c r="D24" s="149" t="s">
        <v>165</v>
      </c>
      <c r="E24" s="150"/>
      <c r="F24" s="150"/>
      <c r="G24" s="150"/>
      <c r="H24" s="150"/>
      <c r="I24" s="150"/>
      <c r="J24" s="150"/>
      <c r="K24" s="150"/>
      <c r="L24" s="151"/>
    </row>
    <row r="25" spans="3:18" ht="45" x14ac:dyDescent="0.25">
      <c r="C25" s="145" t="s">
        <v>8</v>
      </c>
      <c r="D25" s="147" t="s">
        <v>156</v>
      </c>
      <c r="E25" s="56" t="s">
        <v>157</v>
      </c>
      <c r="F25" s="56" t="s">
        <v>157</v>
      </c>
      <c r="G25" s="56" t="s">
        <v>160</v>
      </c>
      <c r="H25" s="56" t="s">
        <v>160</v>
      </c>
      <c r="I25" s="56" t="s">
        <v>153</v>
      </c>
      <c r="J25" s="56" t="s">
        <v>152</v>
      </c>
      <c r="K25" s="56" t="s">
        <v>154</v>
      </c>
      <c r="L25" s="56" t="s">
        <v>162</v>
      </c>
    </row>
    <row r="26" spans="3:18" ht="18.75" thickBot="1" x14ac:dyDescent="0.3">
      <c r="C26" s="146"/>
      <c r="D26" s="148"/>
      <c r="E26" s="50" t="s">
        <v>158</v>
      </c>
      <c r="F26" s="50" t="s">
        <v>159</v>
      </c>
      <c r="G26" s="50" t="s">
        <v>161</v>
      </c>
      <c r="H26" s="50" t="s">
        <v>159</v>
      </c>
      <c r="I26" s="50" t="s">
        <v>159</v>
      </c>
      <c r="J26" s="50" t="s">
        <v>159</v>
      </c>
      <c r="K26" s="50" t="s">
        <v>159</v>
      </c>
      <c r="L26" s="50" t="s">
        <v>159</v>
      </c>
      <c r="M26" s="101" t="s">
        <v>274</v>
      </c>
    </row>
    <row r="27" spans="3:18" ht="15.75" thickBot="1" x14ac:dyDescent="0.3">
      <c r="C27" s="57" t="s">
        <v>163</v>
      </c>
      <c r="D27" s="58">
        <f>'NDC tool'!B$42</f>
        <v>24366.843650481784</v>
      </c>
      <c r="E27" s="58">
        <f>'NDC tool'!B$43</f>
        <v>1246.2208101343429</v>
      </c>
      <c r="F27" s="58">
        <f ca="1">'NDC tool'!C$87</f>
        <v>31155.520253358573</v>
      </c>
      <c r="G27" s="69">
        <f>'NDC tool'!B$44</f>
        <v>18.345554513960028</v>
      </c>
      <c r="H27" s="58">
        <f ca="1">'NDC tool'!C$88</f>
        <v>5466.975245160088</v>
      </c>
      <c r="I27" s="58">
        <f>'NDC tool'!B$45</f>
        <v>0</v>
      </c>
      <c r="J27" s="58">
        <f>'NDC tool'!B$46</f>
        <v>864.4518806000001</v>
      </c>
      <c r="K27" s="58">
        <f>'NDC tool'!B$47</f>
        <v>18.974159999999998</v>
      </c>
      <c r="L27" s="58">
        <f ca="1">SUM(D27,F27,H27,I27:K27)</f>
        <v>61872.765189600439</v>
      </c>
      <c r="M27" s="11" t="b">
        <f ca="1">L27='NDC tool'!C93</f>
        <v>1</v>
      </c>
    </row>
    <row r="28" spans="3:18" ht="16.5" thickTop="1" thickBot="1" x14ac:dyDescent="0.3">
      <c r="C28" s="51">
        <v>2021</v>
      </c>
      <c r="D28" s="60">
        <f t="array" ref="D28:D37">TRANSPOSE('NDC tool'!D86:M86)</f>
        <v>24032.035274136124</v>
      </c>
      <c r="E28" s="60" cm="1">
        <f t="array" ref="E28:E37">TRANSPOSE('NDC tool'!D79:M79)</f>
        <v>1244.4848148616829</v>
      </c>
      <c r="F28" s="60" cm="1">
        <f t="array" aca="1" ref="F28:F37" ca="1">TRANSPOSE('NDC tool'!D87:M87)</f>
        <v>31112.120371542074</v>
      </c>
      <c r="G28" s="70" cm="1">
        <f t="array" ref="G28:G37">TRANSPOSE('NDC tool'!D80:M80)</f>
        <v>19.152663470469083</v>
      </c>
      <c r="H28" s="60" cm="1">
        <f t="array" aca="1" ref="H28:H37" ca="1">TRANSPOSE('NDC tool'!D88:M88)</f>
        <v>5707.4937141997871</v>
      </c>
      <c r="I28" s="60" cm="1">
        <f t="array" ref="I28:I37">TRANSPOSE('NDC tool'!D89:M89)</f>
        <v>36.865808432941094</v>
      </c>
      <c r="J28" s="60" cm="1">
        <f t="array" ref="J28:J37">TRANSPOSE('NDC tool'!D90:M90)</f>
        <v>779.9567160900001</v>
      </c>
      <c r="K28" s="60" cm="1">
        <f t="array" ref="K28:K37">TRANSPOSE('NDC tool'!D91:M91)</f>
        <v>18.241456817988468</v>
      </c>
      <c r="L28" s="60">
        <f ca="1">SUM(D28,F28,H28,I28:K28)</f>
        <v>61686.713341218914</v>
      </c>
      <c r="M28" s="11" t="b">
        <f ca="1">L28='NDC tool'!D93</f>
        <v>1</v>
      </c>
    </row>
    <row r="29" spans="3:18" ht="15.75" thickBot="1" x14ac:dyDescent="0.3">
      <c r="C29" s="51">
        <v>2022</v>
      </c>
      <c r="D29" s="60">
        <v>23697.226897790464</v>
      </c>
      <c r="E29" s="60">
        <v>1242.748819589023</v>
      </c>
      <c r="F29" s="60">
        <f ca="1"/>
        <v>31068.720489725576</v>
      </c>
      <c r="G29" s="70">
        <v>19.959772426978137</v>
      </c>
      <c r="H29" s="60">
        <f ca="1"/>
        <v>5948.0121832394852</v>
      </c>
      <c r="I29" s="60">
        <v>73.731616865882188</v>
      </c>
      <c r="J29" s="60">
        <v>695.4615515800001</v>
      </c>
      <c r="K29" s="60">
        <v>17.508753635976937</v>
      </c>
      <c r="L29" s="60">
        <f t="shared" ref="L29:L37" ca="1" si="0">SUM(D29,F29,H29,I29:K29)</f>
        <v>61500.661492837389</v>
      </c>
      <c r="M29" s="11" t="b">
        <f ca="1">L29='NDC tool'!E93</f>
        <v>1</v>
      </c>
    </row>
    <row r="30" spans="3:18" ht="15.75" thickBot="1" x14ac:dyDescent="0.3">
      <c r="C30" s="51">
        <v>2023</v>
      </c>
      <c r="D30" s="60">
        <v>23362.418521444804</v>
      </c>
      <c r="E30" s="60">
        <v>1241.0128243163631</v>
      </c>
      <c r="F30" s="60">
        <f ca="1"/>
        <v>31025.320607909078</v>
      </c>
      <c r="G30" s="70">
        <v>20.766881383487192</v>
      </c>
      <c r="H30" s="60">
        <f ca="1"/>
        <v>6188.5306522791834</v>
      </c>
      <c r="I30" s="60">
        <v>110.59742529882328</v>
      </c>
      <c r="J30" s="60">
        <v>610.96638707000011</v>
      </c>
      <c r="K30" s="60">
        <v>16.776050453965407</v>
      </c>
      <c r="L30" s="60">
        <f t="shared" ca="1" si="0"/>
        <v>61314.60964445585</v>
      </c>
      <c r="M30" s="11" t="b">
        <f ca="1">L30='NDC tool'!F93</f>
        <v>1</v>
      </c>
    </row>
    <row r="31" spans="3:18" ht="15.75" thickBot="1" x14ac:dyDescent="0.3">
      <c r="C31" s="51">
        <v>2024</v>
      </c>
      <c r="D31" s="60">
        <v>23027.610145099145</v>
      </c>
      <c r="E31" s="60">
        <v>1239.2768290437032</v>
      </c>
      <c r="F31" s="60">
        <f ca="1"/>
        <v>30981.92072609258</v>
      </c>
      <c r="G31" s="70">
        <v>21.573990339996246</v>
      </c>
      <c r="H31" s="60">
        <f ca="1"/>
        <v>6429.0491213188816</v>
      </c>
      <c r="I31" s="60">
        <v>147.46323373176438</v>
      </c>
      <c r="J31" s="60">
        <v>526.47122256000011</v>
      </c>
      <c r="K31" s="60">
        <v>16.043347271953877</v>
      </c>
      <c r="L31" s="60">
        <f t="shared" ca="1" si="0"/>
        <v>61128.557796074325</v>
      </c>
      <c r="M31" s="11" t="b">
        <f ca="1">L31='NDC tool'!G93</f>
        <v>1</v>
      </c>
    </row>
    <row r="32" spans="3:18" ht="15.75" thickBot="1" x14ac:dyDescent="0.3">
      <c r="C32" s="51">
        <v>2025</v>
      </c>
      <c r="D32" s="60">
        <v>22692.801768753485</v>
      </c>
      <c r="E32" s="60">
        <v>1237.5408337710433</v>
      </c>
      <c r="F32" s="60">
        <f ca="1"/>
        <v>30938.520844276081</v>
      </c>
      <c r="G32" s="70">
        <v>22.381099296505301</v>
      </c>
      <c r="H32" s="60">
        <f ca="1"/>
        <v>6669.5675903585798</v>
      </c>
      <c r="I32" s="60">
        <v>184.32904216470547</v>
      </c>
      <c r="J32" s="60">
        <v>441.97605805000012</v>
      </c>
      <c r="K32" s="60">
        <v>15.310644089942345</v>
      </c>
      <c r="L32" s="60">
        <f t="shared" ca="1" si="0"/>
        <v>60942.505947692793</v>
      </c>
      <c r="M32" s="11" t="b">
        <f ca="1">L32='NDC tool'!H93</f>
        <v>1</v>
      </c>
    </row>
    <row r="33" spans="3:13" ht="15.75" thickBot="1" x14ac:dyDescent="0.3">
      <c r="C33" s="51">
        <v>2026</v>
      </c>
      <c r="D33" s="60">
        <v>22357.993392407825</v>
      </c>
      <c r="E33" s="60">
        <v>1235.8048384983833</v>
      </c>
      <c r="F33" s="60">
        <f ca="1"/>
        <v>30895.120962459583</v>
      </c>
      <c r="G33" s="70">
        <v>23.188208253014356</v>
      </c>
      <c r="H33" s="60">
        <f ca="1"/>
        <v>6910.0860593982779</v>
      </c>
      <c r="I33" s="60">
        <v>221.19485059764656</v>
      </c>
      <c r="J33" s="60">
        <v>357.48089354000012</v>
      </c>
      <c r="K33" s="60">
        <v>14.577940907930813</v>
      </c>
      <c r="L33" s="60">
        <f t="shared" ca="1" si="0"/>
        <v>60756.454099311268</v>
      </c>
      <c r="M33" s="11" t="b">
        <f ca="1">L33='NDC tool'!I93</f>
        <v>1</v>
      </c>
    </row>
    <row r="34" spans="3:13" ht="15.75" thickBot="1" x14ac:dyDescent="0.3">
      <c r="C34" s="51">
        <v>2027</v>
      </c>
      <c r="D34" s="60">
        <v>22023.185016062165</v>
      </c>
      <c r="E34" s="60">
        <v>1234.0688432257234</v>
      </c>
      <c r="F34" s="60">
        <f ca="1"/>
        <v>30851.721080643085</v>
      </c>
      <c r="G34" s="70">
        <v>23.99531720952341</v>
      </c>
      <c r="H34" s="60">
        <f ca="1"/>
        <v>7150.6045284379761</v>
      </c>
      <c r="I34" s="60">
        <v>258.06065903058766</v>
      </c>
      <c r="J34" s="60">
        <v>272.98572903000013</v>
      </c>
      <c r="K34" s="60">
        <v>13.845237725919281</v>
      </c>
      <c r="L34" s="60">
        <f t="shared" ca="1" si="0"/>
        <v>60570.402250929736</v>
      </c>
      <c r="M34" s="11" t="b">
        <f ca="1">L34='NDC tool'!J93</f>
        <v>1</v>
      </c>
    </row>
    <row r="35" spans="3:13" ht="15.75" thickBot="1" x14ac:dyDescent="0.3">
      <c r="C35" s="51">
        <v>2028</v>
      </c>
      <c r="D35" s="60">
        <v>21688.376639716505</v>
      </c>
      <c r="E35" s="60">
        <v>1232.3328479530635</v>
      </c>
      <c r="F35" s="60">
        <f ca="1"/>
        <v>30808.321198826587</v>
      </c>
      <c r="G35" s="70">
        <v>24.802426166032465</v>
      </c>
      <c r="H35" s="60">
        <f ca="1"/>
        <v>7391.1229974776743</v>
      </c>
      <c r="I35" s="60">
        <v>294.92646746352875</v>
      </c>
      <c r="J35" s="60">
        <v>188.49056452000013</v>
      </c>
      <c r="K35" s="60">
        <v>13.112534543907749</v>
      </c>
      <c r="L35" s="60">
        <f t="shared" ca="1" si="0"/>
        <v>60384.350402548196</v>
      </c>
      <c r="M35" s="11" t="b">
        <f ca="1">L35='NDC tool'!K93</f>
        <v>1</v>
      </c>
    </row>
    <row r="36" spans="3:13" ht="15.75" thickBot="1" x14ac:dyDescent="0.3">
      <c r="C36" s="51">
        <v>2029</v>
      </c>
      <c r="D36" s="60">
        <v>21353.568263370846</v>
      </c>
      <c r="E36" s="60">
        <v>1230.5968526804036</v>
      </c>
      <c r="F36" s="60">
        <f ca="1"/>
        <v>30764.921317010088</v>
      </c>
      <c r="G36" s="70">
        <v>25.609535122541519</v>
      </c>
      <c r="H36" s="60">
        <f ca="1"/>
        <v>7631.6414665173725</v>
      </c>
      <c r="I36" s="61">
        <v>331.79227589646985</v>
      </c>
      <c r="J36" s="60">
        <v>103.99540001000013</v>
      </c>
      <c r="K36" s="61">
        <v>12.379831361896217</v>
      </c>
      <c r="L36" s="60">
        <f t="shared" ca="1" si="0"/>
        <v>60198.298554166671</v>
      </c>
      <c r="M36" s="11" t="b">
        <f ca="1">L36='NDC tool'!L93</f>
        <v>1</v>
      </c>
    </row>
    <row r="37" spans="3:13" ht="15.75" thickBot="1" x14ac:dyDescent="0.3">
      <c r="C37" s="57">
        <v>2030</v>
      </c>
      <c r="D37" s="58">
        <v>21018.759887025171</v>
      </c>
      <c r="E37" s="58">
        <v>1228.860857407743</v>
      </c>
      <c r="F37" s="58">
        <f ca="1"/>
        <v>30721.521435193576</v>
      </c>
      <c r="G37" s="69">
        <v>26.416644079050574</v>
      </c>
      <c r="H37" s="58">
        <f ca="1"/>
        <v>7872.1599355570706</v>
      </c>
      <c r="I37" s="59">
        <v>368.65808432941094</v>
      </c>
      <c r="J37" s="58">
        <v>19.500235499999999</v>
      </c>
      <c r="K37" s="59">
        <v>11.64712817988468</v>
      </c>
      <c r="L37" s="60">
        <f t="shared" ca="1" si="0"/>
        <v>60012.246705785125</v>
      </c>
      <c r="M37" s="11" t="b">
        <f ca="1">L37='NDC tool'!M93</f>
        <v>1</v>
      </c>
    </row>
    <row r="38" spans="3:13" ht="16.5" thickTop="1" thickBot="1" x14ac:dyDescent="0.3">
      <c r="C38" s="67" t="s">
        <v>164</v>
      </c>
      <c r="D38" s="62">
        <f>SUM(D28:D37)</f>
        <v>225253.97580580652</v>
      </c>
      <c r="E38" s="62">
        <f t="shared" ref="E38:L38" si="1">SUM(E28:E37)</f>
        <v>12366.728361347132</v>
      </c>
      <c r="F38" s="62">
        <f t="shared" ca="1" si="1"/>
        <v>309168.20903367834</v>
      </c>
      <c r="G38" s="71">
        <f t="shared" si="1"/>
        <v>227.84653774759829</v>
      </c>
      <c r="H38" s="62">
        <f t="shared" ca="1" si="1"/>
        <v>67898.268248784283</v>
      </c>
      <c r="I38" s="62">
        <f t="shared" si="1"/>
        <v>2027.6194638117602</v>
      </c>
      <c r="J38" s="62">
        <f t="shared" si="1"/>
        <v>3997.2847579500012</v>
      </c>
      <c r="K38" s="62">
        <f t="shared" si="1"/>
        <v>149.44292498936576</v>
      </c>
      <c r="L38" s="62">
        <f t="shared" ca="1" si="1"/>
        <v>608494.80023502023</v>
      </c>
    </row>
    <row r="39" spans="3:13" ht="15.75" thickTop="1" x14ac:dyDescent="0.25">
      <c r="C39" s="68"/>
      <c r="D39" s="68"/>
      <c r="E39" s="68"/>
      <c r="F39" s="68"/>
      <c r="G39" s="68"/>
      <c r="H39" s="68"/>
      <c r="I39" s="68"/>
      <c r="J39" s="68"/>
      <c r="K39" s="68"/>
      <c r="L39" s="68"/>
    </row>
    <row r="40" spans="3:13" x14ac:dyDescent="0.25">
      <c r="C40" s="11"/>
      <c r="D40" s="11"/>
      <c r="E40" s="11"/>
      <c r="F40" s="11"/>
      <c r="G40" s="11"/>
      <c r="H40" s="11"/>
      <c r="I40" s="11"/>
      <c r="J40" s="11"/>
      <c r="K40" s="11"/>
      <c r="L40" s="11"/>
    </row>
    <row r="43" spans="3:13" ht="15.75" thickBot="1" x14ac:dyDescent="0.3">
      <c r="C43" t="s">
        <v>271</v>
      </c>
    </row>
    <row r="44" spans="3:13" ht="15.75" thickBot="1" x14ac:dyDescent="0.3">
      <c r="C44" s="63"/>
      <c r="D44" s="149" t="s">
        <v>166</v>
      </c>
      <c r="E44" s="150"/>
      <c r="F44" s="150"/>
      <c r="G44" s="150"/>
      <c r="H44" s="150"/>
      <c r="I44" s="150"/>
      <c r="J44" s="150"/>
      <c r="K44" s="150"/>
      <c r="L44" s="151"/>
    </row>
    <row r="45" spans="3:13" ht="45" x14ac:dyDescent="0.25">
      <c r="C45" s="145" t="s">
        <v>8</v>
      </c>
      <c r="D45" s="147" t="s">
        <v>156</v>
      </c>
      <c r="E45" s="56" t="s">
        <v>157</v>
      </c>
      <c r="F45" s="56" t="s">
        <v>157</v>
      </c>
      <c r="G45" s="56" t="s">
        <v>160</v>
      </c>
      <c r="H45" s="56" t="s">
        <v>160</v>
      </c>
      <c r="I45" s="56" t="s">
        <v>153</v>
      </c>
      <c r="J45" s="56" t="s">
        <v>152</v>
      </c>
      <c r="K45" s="56" t="s">
        <v>154</v>
      </c>
      <c r="L45" s="56" t="s">
        <v>162</v>
      </c>
    </row>
    <row r="46" spans="3:13" ht="18.75" thickBot="1" x14ac:dyDescent="0.3">
      <c r="C46" s="146"/>
      <c r="D46" s="148"/>
      <c r="E46" s="50" t="s">
        <v>158</v>
      </c>
      <c r="F46" s="50" t="s">
        <v>159</v>
      </c>
      <c r="G46" s="50" t="s">
        <v>161</v>
      </c>
      <c r="H46" s="50" t="s">
        <v>159</v>
      </c>
      <c r="I46" s="50" t="s">
        <v>159</v>
      </c>
      <c r="J46" s="50" t="s">
        <v>159</v>
      </c>
      <c r="K46" s="50" t="s">
        <v>159</v>
      </c>
      <c r="L46" s="50" t="s">
        <v>159</v>
      </c>
      <c r="M46" s="101" t="s">
        <v>274</v>
      </c>
    </row>
    <row r="47" spans="3:13" ht="15.75" thickBot="1" x14ac:dyDescent="0.3">
      <c r="C47" s="57" t="s">
        <v>163</v>
      </c>
      <c r="D47" s="58">
        <f>'NDC tool'!B$42</f>
        <v>24366.843650481784</v>
      </c>
      <c r="E47" s="58">
        <f>'NDC tool'!B$43</f>
        <v>1246.2208101343429</v>
      </c>
      <c r="F47" s="58">
        <f ca="1">'NDC tool'!C112</f>
        <v>31155.520253358573</v>
      </c>
      <c r="G47" s="69">
        <f>'NDC tool'!B$44</f>
        <v>18.345554513960028</v>
      </c>
      <c r="H47" s="58">
        <f ca="1">'NDC tool'!C113</f>
        <v>5466.975245160088</v>
      </c>
      <c r="I47" s="58">
        <f>'NDC tool'!B$45</f>
        <v>0</v>
      </c>
      <c r="J47" s="58">
        <f>'NDC tool'!B$46</f>
        <v>864.4518806000001</v>
      </c>
      <c r="K47" s="58">
        <f>'NDC tool'!B$47</f>
        <v>18.974159999999998</v>
      </c>
      <c r="L47" s="58">
        <f ca="1">SUM(D47,F47,H47,I47:K47)</f>
        <v>61872.765189600439</v>
      </c>
      <c r="M47" s="11" t="b">
        <f ca="1">L47='NDC tool'!C118</f>
        <v>1</v>
      </c>
    </row>
    <row r="48" spans="3:13" ht="16.5" thickTop="1" thickBot="1" x14ac:dyDescent="0.3">
      <c r="C48" s="51">
        <v>2021</v>
      </c>
      <c r="D48" s="60" cm="1">
        <f t="array" ref="D48:D57">TRANSPOSE('NDC tool'!D103:M103)</f>
        <v>23401.472477525367</v>
      </c>
      <c r="E48" s="60" cm="1">
        <f t="array" ref="E48:E57">TRANSPOSE('NDC tool'!D104:M104)</f>
        <v>1218.2507066698322</v>
      </c>
      <c r="F48" s="60" cm="1">
        <f t="array" aca="1" ref="F48:F57" ca="1">TRANSPOSE('NDC tool'!D112:M112)</f>
        <v>30456.267666745804</v>
      </c>
      <c r="G48" s="70" cm="1">
        <f t="array" ref="G48:G57">TRANSPOSE('NDC tool'!D105:M105)</f>
        <v>18.537130016199942</v>
      </c>
      <c r="H48" s="60" cm="1">
        <f t="array" aca="1" ref="H48:H57" ca="1">TRANSPOSE('NDC tool'!D113:M113)</f>
        <v>5524.0647448275831</v>
      </c>
      <c r="I48" s="60" cm="1">
        <f t="array" ref="I48:I57">TRANSPOSE('NDC tool'!D114:M114)</f>
        <v>24.226102684504145</v>
      </c>
      <c r="J48" s="60" cm="1">
        <f t="array" ref="J48:J57">TRANSPOSE('NDC tool'!D115:M115)</f>
        <v>779.43353904000014</v>
      </c>
      <c r="K48" s="60" cm="1">
        <f t="array" ref="K48:K57">TRANSPOSE('NDC tool'!D116:M116)</f>
        <v>17.83038170575724</v>
      </c>
      <c r="L48" s="60">
        <f ca="1">SUM(D48,F48,H48,I48:K48)</f>
        <v>60203.294912529018</v>
      </c>
      <c r="M48" s="11" t="b">
        <f ca="1">L48='NDC tool'!D118</f>
        <v>1</v>
      </c>
    </row>
    <row r="49" spans="3:13" ht="15.75" thickBot="1" x14ac:dyDescent="0.3">
      <c r="C49" s="51">
        <v>2022</v>
      </c>
      <c r="D49" s="60">
        <v>22436.101304568951</v>
      </c>
      <c r="E49" s="60">
        <v>1190.2806032053215</v>
      </c>
      <c r="F49" s="60">
        <f ca="1"/>
        <v>29757.015080133038</v>
      </c>
      <c r="G49" s="70">
        <v>18.728705518439856</v>
      </c>
      <c r="H49" s="60">
        <f ca="1"/>
        <v>5581.1542444950774</v>
      </c>
      <c r="I49" s="60">
        <v>48.45220536900829</v>
      </c>
      <c r="J49" s="60">
        <v>694.41519748000019</v>
      </c>
      <c r="K49" s="60">
        <v>16.686603411514483</v>
      </c>
      <c r="L49" s="60">
        <f t="shared" ref="L49:L57" ca="1" si="2">SUM(D49,F49,H49,I49:K49)</f>
        <v>58533.824635457589</v>
      </c>
      <c r="M49" s="11" t="b">
        <f ca="1">L49='NDC tool'!E118</f>
        <v>1</v>
      </c>
    </row>
    <row r="50" spans="3:13" ht="15.75" thickBot="1" x14ac:dyDescent="0.3">
      <c r="C50" s="51">
        <v>2023</v>
      </c>
      <c r="D50" s="60">
        <v>21470.730131612534</v>
      </c>
      <c r="E50" s="60">
        <v>1162.3104997408109</v>
      </c>
      <c r="F50" s="60">
        <f ca="1"/>
        <v>29057.762493520273</v>
      </c>
      <c r="G50" s="70">
        <v>18.92028102067977</v>
      </c>
      <c r="H50" s="60">
        <f ca="1"/>
        <v>5638.2437441625716</v>
      </c>
      <c r="I50" s="60">
        <v>72.678308053512438</v>
      </c>
      <c r="J50" s="60">
        <v>609.39685592000023</v>
      </c>
      <c r="K50" s="60">
        <v>15.542825117271727</v>
      </c>
      <c r="L50" s="60">
        <f t="shared" ca="1" si="2"/>
        <v>56864.354358386161</v>
      </c>
      <c r="M50" s="11" t="b">
        <f ca="1">L50='NDC tool'!F118</f>
        <v>1</v>
      </c>
    </row>
    <row r="51" spans="3:13" ht="15.75" thickBot="1" x14ac:dyDescent="0.3">
      <c r="C51" s="51">
        <v>2024</v>
      </c>
      <c r="D51" s="60">
        <v>20505.358958656117</v>
      </c>
      <c r="E51" s="60">
        <v>1134.3403962763002</v>
      </c>
      <c r="F51" s="60">
        <f ca="1"/>
        <v>28358.509906907504</v>
      </c>
      <c r="G51" s="70">
        <v>19.111856522919684</v>
      </c>
      <c r="H51" s="60">
        <f ca="1"/>
        <v>5695.3332438300658</v>
      </c>
      <c r="I51" s="60">
        <v>96.90441073801658</v>
      </c>
      <c r="J51" s="60">
        <v>524.37851436000028</v>
      </c>
      <c r="K51" s="60">
        <v>14.399046823028971</v>
      </c>
      <c r="L51" s="60">
        <f t="shared" ca="1" si="2"/>
        <v>55194.884081314733</v>
      </c>
      <c r="M51" s="11" t="b">
        <f ca="1">L51='NDC tool'!G118</f>
        <v>1</v>
      </c>
    </row>
    <row r="52" spans="3:13" ht="15.75" thickBot="1" x14ac:dyDescent="0.3">
      <c r="C52" s="51">
        <v>2025</v>
      </c>
      <c r="D52" s="60">
        <v>19539.987785699701</v>
      </c>
      <c r="E52" s="60">
        <v>1106.3702928117896</v>
      </c>
      <c r="F52" s="60">
        <f ca="1"/>
        <v>27659.257320294739</v>
      </c>
      <c r="G52" s="70">
        <v>19.303432025159598</v>
      </c>
      <c r="H52" s="60">
        <f ca="1"/>
        <v>5752.4227434975601</v>
      </c>
      <c r="I52" s="60">
        <v>121.13051342252072</v>
      </c>
      <c r="J52" s="60">
        <v>439.36017280000027</v>
      </c>
      <c r="K52" s="60">
        <v>13.255268528786216</v>
      </c>
      <c r="L52" s="60">
        <f t="shared" ca="1" si="2"/>
        <v>53525.413804243311</v>
      </c>
      <c r="M52" s="11" t="b">
        <f ca="1">L52='NDC tool'!H118</f>
        <v>1</v>
      </c>
    </row>
    <row r="53" spans="3:13" ht="15.75" thickBot="1" x14ac:dyDescent="0.3">
      <c r="C53" s="51">
        <v>2026</v>
      </c>
      <c r="D53" s="60">
        <v>18574.616612743284</v>
      </c>
      <c r="E53" s="60">
        <v>1078.4001893472789</v>
      </c>
      <c r="F53" s="60">
        <f ca="1"/>
        <v>26960.004733681973</v>
      </c>
      <c r="G53" s="70">
        <v>19.495007527399512</v>
      </c>
      <c r="H53" s="60">
        <f ca="1"/>
        <v>5809.5122431650543</v>
      </c>
      <c r="I53" s="60">
        <v>145.35661610702488</v>
      </c>
      <c r="J53" s="60">
        <v>354.34183124000026</v>
      </c>
      <c r="K53" s="60">
        <v>12.11149023454346</v>
      </c>
      <c r="L53" s="60">
        <f t="shared" ca="1" si="2"/>
        <v>51855.943527171883</v>
      </c>
      <c r="M53" s="11" t="b">
        <f ca="1">L53='NDC tool'!I118</f>
        <v>1</v>
      </c>
    </row>
    <row r="54" spans="3:13" ht="15.75" thickBot="1" x14ac:dyDescent="0.3">
      <c r="C54" s="51">
        <v>2027</v>
      </c>
      <c r="D54" s="60">
        <v>17609.245439786868</v>
      </c>
      <c r="E54" s="60">
        <v>1050.4300858827683</v>
      </c>
      <c r="F54" s="60">
        <f ca="1"/>
        <v>26260.752147069208</v>
      </c>
      <c r="G54" s="70">
        <v>19.686583029639426</v>
      </c>
      <c r="H54" s="60">
        <f ca="1"/>
        <v>5866.6017428325486</v>
      </c>
      <c r="I54" s="60">
        <v>169.58271879152903</v>
      </c>
      <c r="J54" s="60">
        <v>269.32348968000025</v>
      </c>
      <c r="K54" s="60">
        <v>10.967711940300704</v>
      </c>
      <c r="L54" s="60">
        <f t="shared" ca="1" si="2"/>
        <v>50186.473250100447</v>
      </c>
      <c r="M54" s="11" t="b">
        <f ca="1">L54='NDC tool'!J118</f>
        <v>1</v>
      </c>
    </row>
    <row r="55" spans="3:13" ht="15.75" thickBot="1" x14ac:dyDescent="0.3">
      <c r="C55" s="51">
        <v>2028</v>
      </c>
      <c r="D55" s="60">
        <v>16643.874266830451</v>
      </c>
      <c r="E55" s="60">
        <v>1022.4599824182576</v>
      </c>
      <c r="F55" s="60">
        <f ca="1"/>
        <v>25561.499560456439</v>
      </c>
      <c r="G55" s="70">
        <v>19.87815853187934</v>
      </c>
      <c r="H55" s="60">
        <f ca="1"/>
        <v>5923.6912425000428</v>
      </c>
      <c r="I55" s="60">
        <v>193.80882147603319</v>
      </c>
      <c r="J55" s="60">
        <v>184.30514812000024</v>
      </c>
      <c r="K55" s="60">
        <v>9.8239336460579487</v>
      </c>
      <c r="L55" s="60">
        <f t="shared" ca="1" si="2"/>
        <v>48517.002973029033</v>
      </c>
      <c r="M55" s="11" t="b">
        <f ca="1">L55='NDC tool'!K118</f>
        <v>1</v>
      </c>
    </row>
    <row r="56" spans="3:13" ht="15.75" thickBot="1" x14ac:dyDescent="0.3">
      <c r="C56" s="51">
        <v>2029</v>
      </c>
      <c r="D56" s="60">
        <v>15678.503093874035</v>
      </c>
      <c r="E56" s="60">
        <v>994.48987895374694</v>
      </c>
      <c r="F56" s="60">
        <f ca="1"/>
        <v>24862.246973843674</v>
      </c>
      <c r="G56" s="70">
        <v>20.069734034119254</v>
      </c>
      <c r="H56" s="60">
        <f ca="1"/>
        <v>5980.7807421675379</v>
      </c>
      <c r="I56" s="72">
        <v>218.03492416053734</v>
      </c>
      <c r="J56" s="60">
        <v>99.28680656000023</v>
      </c>
      <c r="K56" s="72">
        <v>8.680155351815193</v>
      </c>
      <c r="L56" s="60">
        <f t="shared" ca="1" si="2"/>
        <v>46847.532695957598</v>
      </c>
      <c r="M56" s="11" t="b">
        <f ca="1">L56='NDC tool'!L118</f>
        <v>1</v>
      </c>
    </row>
    <row r="57" spans="3:13" ht="15.75" thickBot="1" x14ac:dyDescent="0.3">
      <c r="C57" s="57">
        <v>2030</v>
      </c>
      <c r="D57" s="58">
        <v>14713.131920917618</v>
      </c>
      <c r="E57" s="58">
        <v>966.51977548923605</v>
      </c>
      <c r="F57" s="58">
        <f ca="1"/>
        <v>24162.994387230901</v>
      </c>
      <c r="G57" s="69">
        <v>20.261309536359178</v>
      </c>
      <c r="H57" s="58">
        <f ca="1"/>
        <v>6037.8702418350349</v>
      </c>
      <c r="I57" s="73">
        <v>242.26102684504144</v>
      </c>
      <c r="J57" s="58">
        <v>14.268464999999999</v>
      </c>
      <c r="K57" s="73">
        <v>7.53637705757244</v>
      </c>
      <c r="L57" s="60">
        <f t="shared" ca="1" si="2"/>
        <v>45178.062418886177</v>
      </c>
      <c r="M57" s="11" t="b">
        <f ca="1">L57='NDC tool'!M118</f>
        <v>1</v>
      </c>
    </row>
    <row r="58" spans="3:13" ht="16.5" thickTop="1" thickBot="1" x14ac:dyDescent="0.3">
      <c r="C58" s="57" t="s">
        <v>164</v>
      </c>
      <c r="D58" s="58">
        <f>SUM(_xlfn.ANCHORARRAY(D48))</f>
        <v>190573.02199221493</v>
      </c>
      <c r="E58" s="58">
        <f t="shared" ref="E58:K58" si="3">SUM(_xlfn.ANCHORARRAY(E48))</f>
        <v>10923.852410795344</v>
      </c>
      <c r="F58" s="58">
        <f t="shared" ca="1" si="3"/>
        <v>273096.31026988354</v>
      </c>
      <c r="G58" s="74">
        <f t="shared" si="3"/>
        <v>193.99219776279557</v>
      </c>
      <c r="H58" s="58">
        <f t="shared" ca="1" si="3"/>
        <v>57809.674933313079</v>
      </c>
      <c r="I58" s="58">
        <f t="shared" si="3"/>
        <v>1332.435647647728</v>
      </c>
      <c r="J58" s="58">
        <f t="shared" si="3"/>
        <v>3968.5100202000026</v>
      </c>
      <c r="K58" s="58">
        <f t="shared" si="3"/>
        <v>126.83379381664838</v>
      </c>
      <c r="L58" s="58">
        <f ca="1">SUM(L48:L57)</f>
        <v>526906.78665707586</v>
      </c>
    </row>
    <row r="59" spans="3:13" ht="15.75" thickTop="1" x14ac:dyDescent="0.25">
      <c r="C59" s="68"/>
      <c r="D59" s="68"/>
      <c r="E59" s="68"/>
      <c r="F59" s="68"/>
      <c r="G59" s="68"/>
      <c r="H59" s="68"/>
      <c r="I59" s="68"/>
      <c r="J59" s="68"/>
      <c r="K59" s="68"/>
      <c r="L59" s="68"/>
    </row>
    <row r="60" spans="3:13" x14ac:dyDescent="0.25">
      <c r="C60" s="11"/>
      <c r="D60" s="11"/>
      <c r="E60" s="11"/>
      <c r="F60" s="11"/>
      <c r="G60" s="11"/>
      <c r="H60" s="11"/>
      <c r="I60" s="11"/>
      <c r="J60" s="11"/>
      <c r="K60" s="11"/>
      <c r="L60" s="11"/>
      <c r="M60" s="11"/>
    </row>
  </sheetData>
  <mergeCells count="14">
    <mergeCell ref="C15:C16"/>
    <mergeCell ref="C45:C46"/>
    <mergeCell ref="D45:D46"/>
    <mergeCell ref="M5:M6"/>
    <mergeCell ref="C25:C26"/>
    <mergeCell ref="D25:D26"/>
    <mergeCell ref="D44:L44"/>
    <mergeCell ref="D24:L24"/>
    <mergeCell ref="N5:O5"/>
    <mergeCell ref="D5:E5"/>
    <mergeCell ref="F5:H5"/>
    <mergeCell ref="C6:C7"/>
    <mergeCell ref="D14:E14"/>
    <mergeCell ref="F14:H14"/>
  </mergeCells>
  <conditionalFormatting sqref="M27:M37">
    <cfRule type="cellIs" dxfId="5" priority="3" operator="equal">
      <formula>TRUE</formula>
    </cfRule>
    <cfRule type="cellIs" dxfId="4" priority="4" operator="equal">
      <formula>FALSE</formula>
    </cfRule>
  </conditionalFormatting>
  <conditionalFormatting sqref="M47:M57">
    <cfRule type="cellIs" dxfId="3" priority="1" operator="equal">
      <formula>TRUE</formula>
    </cfRule>
    <cfRule type="cellIs" dxfId="2" priority="2" operator="equal">
      <formula>FALSE</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C320C-53BB-4127-B87F-9D58D811B374}">
  <sheetPr>
    <tabColor rgb="FFFFC000"/>
  </sheetPr>
  <dimension ref="B2:V66"/>
  <sheetViews>
    <sheetView zoomScaleNormal="100" workbookViewId="0">
      <selection activeCell="L2" sqref="L2"/>
    </sheetView>
  </sheetViews>
  <sheetFormatPr defaultRowHeight="15" x14ac:dyDescent="0.25"/>
  <cols>
    <col min="10" max="11" width="9.140625" style="11"/>
    <col min="14" max="14" width="9.140625" style="11"/>
  </cols>
  <sheetData>
    <row r="2" spans="2:22" x14ac:dyDescent="0.25">
      <c r="C2" t="s">
        <v>228</v>
      </c>
      <c r="D2" t="s">
        <v>107</v>
      </c>
      <c r="E2" t="s">
        <v>108</v>
      </c>
      <c r="F2" t="s">
        <v>28</v>
      </c>
      <c r="G2" t="s">
        <v>110</v>
      </c>
      <c r="H2" t="s">
        <v>111</v>
      </c>
      <c r="I2" t="s">
        <v>366</v>
      </c>
      <c r="J2" s="11" t="s">
        <v>86</v>
      </c>
      <c r="K2" t="s">
        <v>246</v>
      </c>
      <c r="L2" t="s">
        <v>245</v>
      </c>
      <c r="M2" t="s">
        <v>112</v>
      </c>
      <c r="N2" s="11" t="s">
        <v>229</v>
      </c>
      <c r="O2" t="s">
        <v>140</v>
      </c>
      <c r="P2" t="s">
        <v>124</v>
      </c>
      <c r="Q2" t="s">
        <v>245</v>
      </c>
      <c r="R2" s="11" t="s">
        <v>245</v>
      </c>
      <c r="S2" t="s">
        <v>186</v>
      </c>
      <c r="T2" s="11" t="s">
        <v>187</v>
      </c>
      <c r="U2" t="s">
        <v>188</v>
      </c>
      <c r="V2" t="s">
        <v>230</v>
      </c>
    </row>
    <row r="3" spans="2:22" x14ac:dyDescent="0.25">
      <c r="B3">
        <v>1990</v>
      </c>
      <c r="G3" cm="1">
        <f t="array" ref="G3:G63">TRANSPOSE('Current Policy Reference'!C10:BK10)</f>
        <v>65126.054183469438</v>
      </c>
      <c r="H3" cm="1">
        <f t="array" ref="H3:H63">TRANSPOSE('Current Policy Reference'!C9:BK9)</f>
        <v>65791.661935664772</v>
      </c>
      <c r="I3" cm="1">
        <f t="array" ref="I3:I63">TRANSPOSE('Demonstration path'!C10:BK10)</f>
        <v>65126.054183469438</v>
      </c>
      <c r="L3" cm="1">
        <f t="array" ref="L3:L63">TRANSPOSE('Demonstration path'!C9:BK9)</f>
        <v>65791.661935664772</v>
      </c>
      <c r="M3" s="2">
        <f>'NZ emissions AR4'!H2</f>
        <v>65129.226515368893</v>
      </c>
      <c r="N3" s="2"/>
    </row>
    <row r="4" spans="2:22" x14ac:dyDescent="0.25">
      <c r="B4">
        <f>B3+1</f>
        <v>1991</v>
      </c>
      <c r="G4">
        <v>66002.05279834861</v>
      </c>
      <c r="H4">
        <v>66679.017707485458</v>
      </c>
      <c r="I4">
        <v>66002.05279834861</v>
      </c>
      <c r="L4">
        <v>66679.017707485458</v>
      </c>
      <c r="M4" s="2">
        <f>'NZ emissions AR4'!H3</f>
        <v>66005.336974661288</v>
      </c>
      <c r="N4" s="2"/>
    </row>
    <row r="5" spans="2:22" x14ac:dyDescent="0.25">
      <c r="B5" s="11">
        <f t="shared" ref="B5:B63" si="0">B4+1</f>
        <v>1992</v>
      </c>
      <c r="G5">
        <v>67150.237932194053</v>
      </c>
      <c r="H5">
        <v>67916.681765338246</v>
      </c>
      <c r="I5">
        <v>67150.237932194053</v>
      </c>
      <c r="L5">
        <v>67916.681765338246</v>
      </c>
      <c r="M5" s="2">
        <f>'NZ emissions AR4'!H4</f>
        <v>67153.484765902889</v>
      </c>
      <c r="N5" s="2"/>
    </row>
    <row r="6" spans="2:22" x14ac:dyDescent="0.25">
      <c r="B6" s="11">
        <f t="shared" si="0"/>
        <v>1993</v>
      </c>
      <c r="G6">
        <v>66910.229152283151</v>
      </c>
      <c r="H6">
        <v>67725.880326011276</v>
      </c>
      <c r="I6">
        <v>66910.229152283151</v>
      </c>
      <c r="L6">
        <v>67725.880326011276</v>
      </c>
      <c r="M6" s="2">
        <f>'NZ emissions AR4'!H5</f>
        <v>66913.439299932914</v>
      </c>
      <c r="N6" s="2"/>
    </row>
    <row r="7" spans="2:22" x14ac:dyDescent="0.25">
      <c r="B7" s="11">
        <f t="shared" si="0"/>
        <v>1994</v>
      </c>
      <c r="G7">
        <v>68132.199280622124</v>
      </c>
      <c r="H7">
        <v>68967.172515940387</v>
      </c>
      <c r="I7">
        <v>68132.199280622124</v>
      </c>
      <c r="L7">
        <v>68967.172515940387</v>
      </c>
      <c r="M7" s="2">
        <f>'NZ emissions AR4'!H6</f>
        <v>68135.376464034096</v>
      </c>
      <c r="N7" s="2"/>
    </row>
    <row r="8" spans="2:22" x14ac:dyDescent="0.25">
      <c r="B8" s="11">
        <f t="shared" si="0"/>
        <v>1995</v>
      </c>
      <c r="G8">
        <v>68909.979239291453</v>
      </c>
      <c r="H8">
        <v>69462.567149596216</v>
      </c>
      <c r="I8">
        <v>68909.979239291453</v>
      </c>
      <c r="L8">
        <v>69462.567149596216</v>
      </c>
      <c r="M8" s="2">
        <f>'NZ emissions AR4'!H7</f>
        <v>68913.125016027829</v>
      </c>
      <c r="N8" s="2"/>
    </row>
    <row r="9" spans="2:22" x14ac:dyDescent="0.25">
      <c r="B9" s="11">
        <f t="shared" si="0"/>
        <v>1996</v>
      </c>
      <c r="G9">
        <v>70970.296632680722</v>
      </c>
      <c r="H9">
        <v>70785.413419322183</v>
      </c>
      <c r="I9">
        <v>70970.296632680722</v>
      </c>
      <c r="L9">
        <v>70785.413419322183</v>
      </c>
      <c r="M9" s="2">
        <f>'NZ emissions AR4'!H8</f>
        <v>70973.412800467049</v>
      </c>
      <c r="N9" s="2"/>
    </row>
    <row r="10" spans="2:22" x14ac:dyDescent="0.25">
      <c r="B10" s="11">
        <f t="shared" si="0"/>
        <v>1997</v>
      </c>
      <c r="G10">
        <v>73665.913472384127</v>
      </c>
      <c r="H10">
        <v>72275.519025235131</v>
      </c>
      <c r="I10">
        <v>73665.913472384127</v>
      </c>
      <c r="L10">
        <v>72275.519025235131</v>
      </c>
      <c r="M10" s="2">
        <f>'NZ emissions AR4'!H9</f>
        <v>73669.125622205378</v>
      </c>
      <c r="N10" s="2"/>
    </row>
    <row r="11" spans="2:22" x14ac:dyDescent="0.25">
      <c r="B11" s="11">
        <f t="shared" si="0"/>
        <v>1998</v>
      </c>
      <c r="G11">
        <v>71565.970308870747</v>
      </c>
      <c r="H11">
        <v>68188.01425824991</v>
      </c>
      <c r="I11">
        <v>71565.970308870747</v>
      </c>
      <c r="L11">
        <v>68188.01425824991</v>
      </c>
      <c r="M11" s="2">
        <f>'NZ emissions AR4'!H10</f>
        <v>71569.277743588187</v>
      </c>
      <c r="N11" s="2"/>
    </row>
    <row r="12" spans="2:22" x14ac:dyDescent="0.25">
      <c r="B12" s="11">
        <f t="shared" si="0"/>
        <v>1999</v>
      </c>
      <c r="G12">
        <v>73362.977162888492</v>
      </c>
      <c r="H12">
        <v>67353.91611313571</v>
      </c>
      <c r="I12">
        <v>73362.977162888492</v>
      </c>
      <c r="L12">
        <v>67353.91611313571</v>
      </c>
      <c r="M12" s="2">
        <f>'NZ emissions AR4'!H11</f>
        <v>73366.38051052326</v>
      </c>
      <c r="N12" s="2"/>
    </row>
    <row r="13" spans="2:22" x14ac:dyDescent="0.25">
      <c r="B13" s="11">
        <f t="shared" si="0"/>
        <v>2000</v>
      </c>
      <c r="G13">
        <v>75394.132985883116</v>
      </c>
      <c r="H13">
        <v>69287.17076897416</v>
      </c>
      <c r="I13">
        <v>75394.132985883116</v>
      </c>
      <c r="L13">
        <v>69287.17076897416</v>
      </c>
      <c r="M13" s="2">
        <f>'NZ emissions AR4'!H12</f>
        <v>75397.63138367908</v>
      </c>
      <c r="N13" s="2"/>
    </row>
    <row r="14" spans="2:22" x14ac:dyDescent="0.25">
      <c r="B14" s="11">
        <f t="shared" si="0"/>
        <v>2001</v>
      </c>
      <c r="G14">
        <v>78382.760746796412</v>
      </c>
      <c r="H14">
        <v>69831.329542443898</v>
      </c>
      <c r="I14">
        <v>78382.760746796412</v>
      </c>
      <c r="L14">
        <v>69831.329542443898</v>
      </c>
      <c r="M14" s="2">
        <f>'NZ emissions AR4'!H13</f>
        <v>78386.35624085147</v>
      </c>
      <c r="N14" s="2"/>
    </row>
    <row r="15" spans="2:22" x14ac:dyDescent="0.25">
      <c r="B15" s="11">
        <f t="shared" si="0"/>
        <v>2002</v>
      </c>
      <c r="G15">
        <v>78559.894364228501</v>
      </c>
      <c r="H15">
        <v>67925.945708190324</v>
      </c>
      <c r="I15">
        <v>78559.894364228501</v>
      </c>
      <c r="L15">
        <v>67925.945708190324</v>
      </c>
      <c r="M15" s="2">
        <f>'NZ emissions AR4'!H14</f>
        <v>78563.491811193337</v>
      </c>
      <c r="N15" s="2"/>
    </row>
    <row r="16" spans="2:22" x14ac:dyDescent="0.25">
      <c r="B16" s="11">
        <f t="shared" si="0"/>
        <v>2003</v>
      </c>
      <c r="G16">
        <v>80730.042608243879</v>
      </c>
      <c r="H16">
        <v>70645.338256973148</v>
      </c>
      <c r="I16">
        <v>80730.042608243879</v>
      </c>
      <c r="L16">
        <v>70645.338256973148</v>
      </c>
      <c r="M16" s="2">
        <f>'NZ emissions AR4'!H15</f>
        <v>80733.637523261496</v>
      </c>
      <c r="N16" s="2"/>
    </row>
    <row r="17" spans="2:18" x14ac:dyDescent="0.25">
      <c r="B17" s="11">
        <f t="shared" si="0"/>
        <v>2004</v>
      </c>
      <c r="G17">
        <v>80544.739386202316</v>
      </c>
      <c r="H17">
        <v>73326.729432960245</v>
      </c>
      <c r="I17">
        <v>80544.739386202316</v>
      </c>
      <c r="L17">
        <v>73326.729432960245</v>
      </c>
      <c r="M17" s="2">
        <f>'NZ emissions AR4'!H16</f>
        <v>80548.784687966036</v>
      </c>
      <c r="N17" s="2"/>
    </row>
    <row r="18" spans="2:18" x14ac:dyDescent="0.25">
      <c r="B18" s="11">
        <f t="shared" si="0"/>
        <v>2005</v>
      </c>
      <c r="G18">
        <v>82481.67775213797</v>
      </c>
      <c r="H18">
        <v>80530.893475488308</v>
      </c>
      <c r="I18">
        <v>82481.67775213797</v>
      </c>
      <c r="L18">
        <v>80530.893475488308</v>
      </c>
      <c r="M18" s="2">
        <f>'NZ emissions AR4'!H17</f>
        <v>82486.171924099879</v>
      </c>
      <c r="N18" s="2"/>
    </row>
    <row r="19" spans="2:18" x14ac:dyDescent="0.25">
      <c r="B19" s="11">
        <f t="shared" si="0"/>
        <v>2006</v>
      </c>
      <c r="G19">
        <v>82513.932751830434</v>
      </c>
      <c r="H19">
        <v>83199.364600457397</v>
      </c>
      <c r="I19">
        <v>82513.932751830434</v>
      </c>
      <c r="L19">
        <v>83199.364600457397</v>
      </c>
      <c r="M19" s="2">
        <f>'NZ emissions AR4'!H18</f>
        <v>82518.412588562307</v>
      </c>
      <c r="N19" s="2"/>
    </row>
    <row r="20" spans="2:18" x14ac:dyDescent="0.25">
      <c r="B20" s="11">
        <f t="shared" si="0"/>
        <v>2007</v>
      </c>
      <c r="G20">
        <v>80518.076583797127</v>
      </c>
      <c r="H20">
        <v>86461.206060117765</v>
      </c>
      <c r="I20">
        <v>80518.076583797127</v>
      </c>
      <c r="L20">
        <v>86461.206060117765</v>
      </c>
      <c r="M20" s="2">
        <f>'NZ emissions AR4'!H19</f>
        <v>80522.566233453137</v>
      </c>
      <c r="N20" s="2"/>
    </row>
    <row r="21" spans="2:18" x14ac:dyDescent="0.25">
      <c r="B21" s="11">
        <f t="shared" si="0"/>
        <v>2008</v>
      </c>
      <c r="C21" s="2">
        <f>'NZ emissions AR4'!$H$2</f>
        <v>65129.226515368893</v>
      </c>
      <c r="G21">
        <v>80600.942458182297</v>
      </c>
      <c r="H21">
        <v>66825.048547827508</v>
      </c>
      <c r="I21">
        <v>80600.942458182297</v>
      </c>
      <c r="L21">
        <v>66825.048547827508</v>
      </c>
      <c r="M21" s="2">
        <f>'NZ emissions AR4'!H20</f>
        <v>80605.445422068238</v>
      </c>
      <c r="N21" s="2"/>
      <c r="O21" s="4" cm="1">
        <f t="array" ref="O21:O32">TRANSPOSE('MfE Target accounting emissions'!T16:AE16)*1000</f>
        <v>-13732.590189374519</v>
      </c>
      <c r="P21" s="2">
        <f>M21+O21</f>
        <v>66872.855232693721</v>
      </c>
      <c r="Q21" s="2"/>
    </row>
    <row r="22" spans="2:18" x14ac:dyDescent="0.25">
      <c r="B22" s="11">
        <f t="shared" si="0"/>
        <v>2009</v>
      </c>
      <c r="C22" s="2">
        <f>'NZ emissions AR4'!$H$2</f>
        <v>65129.226515368893</v>
      </c>
      <c r="G22">
        <v>77877.435324388629</v>
      </c>
      <c r="H22">
        <v>66374.045786678544</v>
      </c>
      <c r="I22">
        <v>77877.435324388629</v>
      </c>
      <c r="L22">
        <v>66374.045786678544</v>
      </c>
      <c r="M22" s="2">
        <f>'NZ emissions AR4'!H21</f>
        <v>77881.950907245307</v>
      </c>
      <c r="N22" s="2"/>
      <c r="O22" s="4">
        <v>-11785.369577683156</v>
      </c>
      <c r="P22" s="2">
        <f t="shared" ref="P22:P32" si="1">M22+O22</f>
        <v>66096.581329562148</v>
      </c>
      <c r="Q22" s="2"/>
    </row>
    <row r="23" spans="2:18" x14ac:dyDescent="0.25">
      <c r="B23" s="11">
        <f t="shared" si="0"/>
        <v>2010</v>
      </c>
      <c r="C23" s="2">
        <f>'NZ emissions AR4'!$H$2</f>
        <v>65129.226515368893</v>
      </c>
      <c r="D23" s="2">
        <f>C23</f>
        <v>65129.226515368893</v>
      </c>
      <c r="G23">
        <v>78311.88086060877</v>
      </c>
      <c r="H23">
        <v>65875.077227399161</v>
      </c>
      <c r="I23">
        <v>78311.88086060877</v>
      </c>
      <c r="L23">
        <v>65875.077227399161</v>
      </c>
      <c r="M23" s="2">
        <f>'NZ emissions AR4'!H22</f>
        <v>78316.411481151765</v>
      </c>
      <c r="N23" s="2"/>
      <c r="O23" s="4">
        <v>-10868.295506631057</v>
      </c>
      <c r="P23" s="2">
        <f t="shared" si="1"/>
        <v>67448.115974520711</v>
      </c>
      <c r="Q23" s="2"/>
    </row>
    <row r="24" spans="2:18" x14ac:dyDescent="0.25">
      <c r="B24" s="11">
        <f t="shared" si="0"/>
        <v>2011</v>
      </c>
      <c r="C24" s="2">
        <f>'NZ emissions AR4'!$H$2</f>
        <v>65129.226515368893</v>
      </c>
      <c r="D24">
        <f>D23-($D$23-$D$33)/10</f>
        <v>64803.580382792046</v>
      </c>
      <c r="G24">
        <v>78144.687728087127</v>
      </c>
      <c r="H24">
        <v>64670.988102069088</v>
      </c>
      <c r="I24">
        <v>78144.687728087127</v>
      </c>
      <c r="L24">
        <v>64670.988102069088</v>
      </c>
      <c r="M24" s="2">
        <f>'NZ emissions AR4'!H23</f>
        <v>78149.235041513632</v>
      </c>
      <c r="N24" s="2"/>
      <c r="O24" s="4">
        <v>-12235.180123244249</v>
      </c>
      <c r="P24" s="2">
        <f t="shared" si="1"/>
        <v>65914.054918269379</v>
      </c>
      <c r="Q24" s="2"/>
    </row>
    <row r="25" spans="2:18" x14ac:dyDescent="0.25">
      <c r="B25" s="11">
        <f t="shared" si="0"/>
        <v>2012</v>
      </c>
      <c r="C25" s="2">
        <f>'NZ emissions AR4'!$H$2</f>
        <v>65129.226515368893</v>
      </c>
      <c r="D25" s="11">
        <f t="shared" ref="D25:D32" si="2">D24-($D$23-$D$33)/10</f>
        <v>64477.934250215199</v>
      </c>
      <c r="G25">
        <v>80442.004006501593</v>
      </c>
      <c r="H25">
        <v>68740.825271216701</v>
      </c>
      <c r="I25">
        <v>80442.004006501593</v>
      </c>
      <c r="L25">
        <v>68740.825271216701</v>
      </c>
      <c r="M25" s="2">
        <f>'NZ emissions AR4'!H24</f>
        <v>80446.278485825009</v>
      </c>
      <c r="N25" s="2"/>
      <c r="O25" s="4">
        <v>-10865.19756156467</v>
      </c>
      <c r="P25" s="2">
        <f t="shared" si="1"/>
        <v>69581.080924260343</v>
      </c>
      <c r="Q25" s="2"/>
    </row>
    <row r="26" spans="2:18" x14ac:dyDescent="0.25">
      <c r="B26" s="11">
        <f t="shared" si="0"/>
        <v>2013</v>
      </c>
      <c r="D26" s="11">
        <f t="shared" si="2"/>
        <v>64152.288117638353</v>
      </c>
      <c r="E26">
        <f>AVERAGE($D$26:$D$33)</f>
        <v>63012.526653619389</v>
      </c>
      <c r="G26">
        <v>79824.245473942021</v>
      </c>
      <c r="H26">
        <v>70916.380914506866</v>
      </c>
      <c r="I26">
        <v>79824.245473942021</v>
      </c>
      <c r="L26">
        <v>70916.380914506866</v>
      </c>
      <c r="M26" s="2">
        <f>'NZ emissions AR4'!H25</f>
        <v>79827.770832193244</v>
      </c>
      <c r="N26" s="2"/>
      <c r="O26" s="4">
        <v>-8020.1272368385471</v>
      </c>
      <c r="P26" s="2">
        <f t="shared" si="1"/>
        <v>71807.64359535469</v>
      </c>
      <c r="Q26" s="2"/>
    </row>
    <row r="27" spans="2:18" x14ac:dyDescent="0.25">
      <c r="B27" s="11">
        <f t="shared" si="0"/>
        <v>2014</v>
      </c>
      <c r="D27" s="11">
        <f t="shared" si="2"/>
        <v>63826.641985061506</v>
      </c>
      <c r="E27" s="11">
        <f t="shared" ref="E27:E33" si="3">AVERAGE($D$26:$D$33)</f>
        <v>63012.526653619389</v>
      </c>
      <c r="G27">
        <v>80670.471399098577</v>
      </c>
      <c r="H27">
        <v>68475.759225307163</v>
      </c>
      <c r="I27">
        <v>80670.471399098577</v>
      </c>
      <c r="L27">
        <v>68475.759225307163</v>
      </c>
      <c r="M27" s="2">
        <f>'NZ emissions AR4'!H26</f>
        <v>80673.99760833125</v>
      </c>
      <c r="N27" s="2"/>
      <c r="O27" s="4">
        <v>-12160.581042906713</v>
      </c>
      <c r="P27" s="2">
        <f t="shared" si="1"/>
        <v>68513.41656542453</v>
      </c>
      <c r="Q27" s="2"/>
    </row>
    <row r="28" spans="2:18" x14ac:dyDescent="0.25">
      <c r="B28" s="11">
        <f t="shared" si="0"/>
        <v>2015</v>
      </c>
      <c r="D28" s="11">
        <f t="shared" si="2"/>
        <v>63500.995852484659</v>
      </c>
      <c r="E28" s="11">
        <f t="shared" si="3"/>
        <v>63012.526653619389</v>
      </c>
      <c r="G28">
        <v>80721.005973371241</v>
      </c>
      <c r="H28">
        <v>67518.48536156716</v>
      </c>
      <c r="I28">
        <v>80721.005973371241</v>
      </c>
      <c r="L28">
        <v>67518.48536156716</v>
      </c>
      <c r="M28" s="2">
        <f>'NZ emissions AR4'!H27</f>
        <v>80724.435872125614</v>
      </c>
      <c r="N28" s="2"/>
      <c r="O28" s="4">
        <v>-14430.048032638639</v>
      </c>
      <c r="P28" s="2">
        <f t="shared" si="1"/>
        <v>66294.387839486968</v>
      </c>
      <c r="Q28" s="2"/>
    </row>
    <row r="29" spans="2:18" x14ac:dyDescent="0.25">
      <c r="B29" s="11">
        <f t="shared" si="0"/>
        <v>2016</v>
      </c>
      <c r="D29" s="11">
        <f t="shared" si="2"/>
        <v>63175.349719907812</v>
      </c>
      <c r="E29" s="11">
        <f t="shared" si="3"/>
        <v>63012.526653619389</v>
      </c>
      <c r="G29">
        <v>78674.908147138151</v>
      </c>
      <c r="H29">
        <v>64578.943526878247</v>
      </c>
      <c r="I29">
        <v>78674.908147138151</v>
      </c>
      <c r="L29">
        <v>64578.943526878247</v>
      </c>
      <c r="M29" s="2">
        <f>'NZ emissions AR4'!H28</f>
        <v>78678.361778524326</v>
      </c>
      <c r="N29" s="2"/>
      <c r="O29" s="4">
        <v>-15972.173703581475</v>
      </c>
      <c r="P29" s="2">
        <f t="shared" si="1"/>
        <v>62706.188074942853</v>
      </c>
      <c r="Q29" s="2"/>
    </row>
    <row r="30" spans="2:18" x14ac:dyDescent="0.25">
      <c r="B30" s="11">
        <f t="shared" si="0"/>
        <v>2017</v>
      </c>
      <c r="D30" s="11">
        <f t="shared" si="2"/>
        <v>62849.703587330965</v>
      </c>
      <c r="E30" s="11">
        <f t="shared" si="3"/>
        <v>63012.526653619389</v>
      </c>
      <c r="G30">
        <v>80278.460273178047</v>
      </c>
      <c r="H30">
        <v>67895.015692125307</v>
      </c>
      <c r="I30">
        <v>80278.460273178047</v>
      </c>
      <c r="L30">
        <v>67895.015692125307</v>
      </c>
      <c r="M30" s="2">
        <f>'NZ emissions AR4'!H29</f>
        <v>80281.999281868179</v>
      </c>
      <c r="N30" s="2"/>
      <c r="O30" s="4">
        <v>-15816.693431917713</v>
      </c>
      <c r="P30" s="2">
        <f t="shared" si="1"/>
        <v>64465.30584995047</v>
      </c>
      <c r="Q30" s="2"/>
    </row>
    <row r="31" spans="2:18" x14ac:dyDescent="0.25">
      <c r="B31" s="11">
        <f t="shared" si="0"/>
        <v>2018</v>
      </c>
      <c r="D31" s="11">
        <f t="shared" si="2"/>
        <v>62524.057454754118</v>
      </c>
      <c r="E31" s="11">
        <f t="shared" si="3"/>
        <v>63012.526653619389</v>
      </c>
      <c r="G31">
        <v>80574.665675500291</v>
      </c>
      <c r="H31">
        <v>70084.610481216514</v>
      </c>
      <c r="I31">
        <v>80574.665675500291</v>
      </c>
      <c r="L31">
        <v>70084.610481216514</v>
      </c>
      <c r="M31" s="2">
        <f>'NZ emissions AR4'!H30</f>
        <v>80578.308825720393</v>
      </c>
      <c r="N31" s="2"/>
      <c r="O31" s="4">
        <v>-15450.661407643502</v>
      </c>
      <c r="P31" s="2">
        <f t="shared" si="1"/>
        <v>65127.647418076893</v>
      </c>
    </row>
    <row r="32" spans="2:18" x14ac:dyDescent="0.25">
      <c r="B32" s="11">
        <f t="shared" si="0"/>
        <v>2019</v>
      </c>
      <c r="D32" s="11">
        <f t="shared" si="2"/>
        <v>62198.411322177271</v>
      </c>
      <c r="E32" s="11">
        <f t="shared" si="3"/>
        <v>63012.526653619389</v>
      </c>
      <c r="G32">
        <v>82313.571733864868</v>
      </c>
      <c r="H32">
        <v>74923.35863537126</v>
      </c>
      <c r="I32">
        <v>82313.571733864868</v>
      </c>
      <c r="L32">
        <v>74923.35863537126</v>
      </c>
      <c r="M32" s="2">
        <f>'NZ emissions AR4'!H31</f>
        <v>82317.875709625354</v>
      </c>
      <c r="N32" s="2">
        <f>M32</f>
        <v>82317.875709625354</v>
      </c>
      <c r="O32" s="4">
        <v>-13520.081206916146</v>
      </c>
      <c r="P32" s="2">
        <f t="shared" si="1"/>
        <v>68797.794502709206</v>
      </c>
      <c r="Q32" s="2">
        <f>P32</f>
        <v>68797.794502709206</v>
      </c>
      <c r="R32" s="2">
        <f>Q32</f>
        <v>68797.794502709206</v>
      </c>
    </row>
    <row r="33" spans="2:22" x14ac:dyDescent="0.25">
      <c r="B33" s="11">
        <f t="shared" si="0"/>
        <v>2020</v>
      </c>
      <c r="D33">
        <f>0.95*'NZ emissions AR4'!H2</f>
        <v>61872.765189600446</v>
      </c>
      <c r="E33" s="11">
        <f t="shared" si="3"/>
        <v>63012.526653619389</v>
      </c>
      <c r="G33">
        <v>80103.671311687169</v>
      </c>
      <c r="H33">
        <v>71536.086023121126</v>
      </c>
      <c r="I33">
        <v>80099.024227770817</v>
      </c>
      <c r="L33">
        <v>71531.438939204774</v>
      </c>
      <c r="N33" s="11">
        <f>I33</f>
        <v>80099.024227770817</v>
      </c>
      <c r="O33" s="4"/>
      <c r="Q33">
        <f>L33</f>
        <v>71531.438939204774</v>
      </c>
      <c r="R33">
        <f t="shared" ref="R33:R53" si="4">L33</f>
        <v>71531.438939204774</v>
      </c>
      <c r="V33">
        <v>61872.765189600446</v>
      </c>
    </row>
    <row r="34" spans="2:22" x14ac:dyDescent="0.25">
      <c r="B34" s="11">
        <f t="shared" si="0"/>
        <v>2021</v>
      </c>
      <c r="F34">
        <f>595999.205260986/10</f>
        <v>59599.920526098598</v>
      </c>
      <c r="G34">
        <v>79416.526997870955</v>
      </c>
      <c r="H34">
        <v>72069.381684343025</v>
      </c>
      <c r="I34">
        <v>78848.229216822248</v>
      </c>
      <c r="J34" s="11">
        <f>L34</f>
        <v>71501.083903294319</v>
      </c>
      <c r="L34">
        <v>71501.083903294319</v>
      </c>
      <c r="N34" s="11">
        <f>I34</f>
        <v>78848.229216822248</v>
      </c>
      <c r="Q34" s="11">
        <f>L34</f>
        <v>71501.083903294319</v>
      </c>
      <c r="R34" s="11">
        <f t="shared" si="4"/>
        <v>71501.083903294319</v>
      </c>
      <c r="V34">
        <v>61459.520705327392</v>
      </c>
    </row>
    <row r="35" spans="2:22" x14ac:dyDescent="0.25">
      <c r="B35" s="11">
        <f t="shared" si="0"/>
        <v>2022</v>
      </c>
      <c r="F35" s="11">
        <f t="shared" ref="F35:F43" si="5">595999.205260986/10</f>
        <v>59599.920526098598</v>
      </c>
      <c r="G35">
        <v>79658.929285513048</v>
      </c>
      <c r="H35">
        <v>72782.749799677506</v>
      </c>
      <c r="I35">
        <v>78678.292603739348</v>
      </c>
      <c r="J35" s="11">
        <f t="shared" ref="J35:J48" si="6">L35</f>
        <v>71727.27837623714</v>
      </c>
      <c r="L35">
        <v>71727.27837623714</v>
      </c>
      <c r="Q35" s="11"/>
      <c r="R35" s="11">
        <f t="shared" si="4"/>
        <v>71727.27837623714</v>
      </c>
      <c r="V35" s="86">
        <v>61046.276221054337</v>
      </c>
    </row>
    <row r="36" spans="2:22" x14ac:dyDescent="0.25">
      <c r="B36" s="11">
        <f t="shared" si="0"/>
        <v>2023</v>
      </c>
      <c r="F36" s="11">
        <f t="shared" si="5"/>
        <v>59599.920526098598</v>
      </c>
      <c r="G36">
        <v>78805.305179250223</v>
      </c>
      <c r="H36">
        <v>72517.802211976683</v>
      </c>
      <c r="I36">
        <v>77141.849657100887</v>
      </c>
      <c r="J36" s="11">
        <f t="shared" si="6"/>
        <v>70737.872774573712</v>
      </c>
      <c r="L36">
        <v>70737.872774573712</v>
      </c>
      <c r="Q36" s="11"/>
      <c r="R36" s="11">
        <f t="shared" si="4"/>
        <v>70737.872774573712</v>
      </c>
      <c r="V36" s="86">
        <v>60633.031736781282</v>
      </c>
    </row>
    <row r="37" spans="2:22" x14ac:dyDescent="0.25">
      <c r="B37" s="11">
        <f t="shared" si="0"/>
        <v>2024</v>
      </c>
      <c r="F37" s="11">
        <f t="shared" si="5"/>
        <v>59599.920526098598</v>
      </c>
      <c r="G37">
        <v>78106.584890947561</v>
      </c>
      <c r="H37">
        <v>72016.899119239664</v>
      </c>
      <c r="I37">
        <v>75868.055652020063</v>
      </c>
      <c r="J37" s="11">
        <f t="shared" si="6"/>
        <v>69622.508706453766</v>
      </c>
      <c r="L37">
        <v>69622.508706453766</v>
      </c>
      <c r="Q37" s="11"/>
      <c r="R37" s="11">
        <f t="shared" si="4"/>
        <v>69622.508706453766</v>
      </c>
      <c r="V37" s="86">
        <v>60219.787252508228</v>
      </c>
    </row>
    <row r="38" spans="2:22" x14ac:dyDescent="0.25">
      <c r="B38" s="11">
        <f t="shared" si="0"/>
        <v>2025</v>
      </c>
      <c r="F38" s="11">
        <f t="shared" si="5"/>
        <v>59599.920526098598</v>
      </c>
      <c r="G38">
        <v>75378.264489397145</v>
      </c>
      <c r="H38">
        <v>68830.750969339439</v>
      </c>
      <c r="I38">
        <v>72680.939207000367</v>
      </c>
      <c r="J38" s="11">
        <f t="shared" si="6"/>
        <v>65928.276737372493</v>
      </c>
      <c r="L38">
        <v>65928.276737372493</v>
      </c>
      <c r="Q38" s="11"/>
      <c r="R38" s="11">
        <f t="shared" si="4"/>
        <v>65928.276737372493</v>
      </c>
      <c r="V38" s="86">
        <v>59806.542768235173</v>
      </c>
    </row>
    <row r="39" spans="2:22" x14ac:dyDescent="0.25">
      <c r="B39" s="11">
        <f t="shared" si="0"/>
        <v>2026</v>
      </c>
      <c r="F39" s="11">
        <f t="shared" si="5"/>
        <v>59599.920526098598</v>
      </c>
      <c r="G39">
        <v>75495.066457052264</v>
      </c>
      <c r="H39">
        <v>68119.790398987156</v>
      </c>
      <c r="I39">
        <v>72012.780467754274</v>
      </c>
      <c r="J39" s="11">
        <f t="shared" si="6"/>
        <v>63702.761088065759</v>
      </c>
      <c r="L39">
        <v>63702.761088065759</v>
      </c>
      <c r="R39" s="11">
        <f t="shared" si="4"/>
        <v>63702.761088065759</v>
      </c>
      <c r="V39" s="86">
        <v>59393.298283962118</v>
      </c>
    </row>
    <row r="40" spans="2:22" x14ac:dyDescent="0.25">
      <c r="B40" s="11">
        <f t="shared" si="0"/>
        <v>2027</v>
      </c>
      <c r="F40" s="11">
        <f t="shared" si="5"/>
        <v>59599.920526098598</v>
      </c>
      <c r="G40">
        <v>75510.346055949194</v>
      </c>
      <c r="H40">
        <v>67322.033321288909</v>
      </c>
      <c r="I40">
        <v>71220.298282553747</v>
      </c>
      <c r="J40" s="11">
        <f t="shared" si="6"/>
        <v>62022.252305368464</v>
      </c>
      <c r="L40">
        <v>62022.252305368464</v>
      </c>
      <c r="R40" s="11">
        <f t="shared" si="4"/>
        <v>62022.252305368464</v>
      </c>
      <c r="V40" s="86">
        <v>58980.053799689063</v>
      </c>
    </row>
    <row r="41" spans="2:22" x14ac:dyDescent="0.25">
      <c r="B41" s="11">
        <f t="shared" si="0"/>
        <v>2028</v>
      </c>
      <c r="F41" s="11">
        <f t="shared" si="5"/>
        <v>59599.920526098598</v>
      </c>
      <c r="G41">
        <v>75494.894342218307</v>
      </c>
      <c r="H41">
        <v>66468.174847685004</v>
      </c>
      <c r="I41">
        <v>70068.319797485048</v>
      </c>
      <c r="J41" s="11">
        <f t="shared" si="6"/>
        <v>59940.987101625222</v>
      </c>
      <c r="L41">
        <v>59940.987101625222</v>
      </c>
      <c r="R41" s="11">
        <f t="shared" si="4"/>
        <v>59940.987101625222</v>
      </c>
      <c r="V41" s="86">
        <v>58566.809315416009</v>
      </c>
    </row>
    <row r="42" spans="2:22" x14ac:dyDescent="0.25">
      <c r="B42" s="11">
        <f t="shared" si="0"/>
        <v>2029</v>
      </c>
      <c r="F42" s="11">
        <f t="shared" si="5"/>
        <v>59599.920526098598</v>
      </c>
      <c r="G42">
        <v>75462.011575759068</v>
      </c>
      <c r="H42">
        <v>65744.30736055343</v>
      </c>
      <c r="I42">
        <v>68739.630035464041</v>
      </c>
      <c r="J42" s="11">
        <f t="shared" si="6"/>
        <v>57814.235911186828</v>
      </c>
      <c r="L42">
        <v>57814.235911186828</v>
      </c>
      <c r="R42" s="11">
        <f t="shared" si="4"/>
        <v>57814.235911186828</v>
      </c>
      <c r="V42" s="86">
        <v>58153.564831142954</v>
      </c>
    </row>
    <row r="43" spans="2:22" x14ac:dyDescent="0.25">
      <c r="B43" s="11">
        <f t="shared" si="0"/>
        <v>2030</v>
      </c>
      <c r="F43" s="11">
        <f t="shared" si="5"/>
        <v>59599.920526098598</v>
      </c>
      <c r="G43">
        <v>74774.976211350877</v>
      </c>
      <c r="H43">
        <v>64481.443661286277</v>
      </c>
      <c r="I43">
        <v>66459.198707570657</v>
      </c>
      <c r="J43" s="11">
        <f t="shared" si="6"/>
        <v>54834.483516737018</v>
      </c>
      <c r="L43">
        <v>54834.483516737018</v>
      </c>
      <c r="R43" s="11">
        <f t="shared" si="4"/>
        <v>54834.483516737018</v>
      </c>
      <c r="S43">
        <f>F43</f>
        <v>59599.920526098598</v>
      </c>
      <c r="T43">
        <f>F43</f>
        <v>59599.920526098598</v>
      </c>
      <c r="V43" s="86">
        <v>57740.320346869914</v>
      </c>
    </row>
    <row r="44" spans="2:22" x14ac:dyDescent="0.25">
      <c r="B44" s="11">
        <f t="shared" si="0"/>
        <v>2031</v>
      </c>
      <c r="G44">
        <v>74711.828122713414</v>
      </c>
      <c r="H44">
        <v>63824.580623750968</v>
      </c>
      <c r="I44">
        <v>64922.409275579841</v>
      </c>
      <c r="J44" s="11">
        <f t="shared" si="6"/>
        <v>52557.291903792087</v>
      </c>
      <c r="L44">
        <v>52557.291903792087</v>
      </c>
      <c r="R44" s="11">
        <f t="shared" si="4"/>
        <v>52557.291903792087</v>
      </c>
      <c r="S44">
        <f>S43-($S$43-$S$63)/20</f>
        <v>58434.976389567462</v>
      </c>
      <c r="T44">
        <f>T43-($T$43-$T$63)/20</f>
        <v>57700.480929049445</v>
      </c>
      <c r="U44" s="11">
        <f>AVERAGE($L$44:$L$53)</f>
        <v>41596.004035976781</v>
      </c>
      <c r="V44" s="75"/>
    </row>
    <row r="45" spans="2:22" x14ac:dyDescent="0.25">
      <c r="B45" s="11">
        <f t="shared" si="0"/>
        <v>2032</v>
      </c>
      <c r="G45">
        <v>74426.703259235597</v>
      </c>
      <c r="H45">
        <v>62951.135033731072</v>
      </c>
      <c r="I45">
        <v>63336.303131311601</v>
      </c>
      <c r="J45" s="11">
        <f t="shared" si="6"/>
        <v>50224.802562132892</v>
      </c>
      <c r="L45">
        <v>50224.802562132892</v>
      </c>
      <c r="R45" s="11">
        <f t="shared" si="4"/>
        <v>50224.802562132892</v>
      </c>
      <c r="S45" s="11">
        <f t="shared" ref="S45:S62" si="7">S44-($S$43-$S$63)/20</f>
        <v>57270.032253036326</v>
      </c>
      <c r="T45" s="11">
        <f t="shared" ref="T45:T62" si="8">T44-($T$43-$T$63)/20</f>
        <v>55801.041332000292</v>
      </c>
      <c r="U45" s="11">
        <f t="shared" ref="U45:U53" si="9">AVERAGE($L$44:$L$53)</f>
        <v>41596.004035976781</v>
      </c>
    </row>
    <row r="46" spans="2:22" x14ac:dyDescent="0.25">
      <c r="B46" s="11">
        <f t="shared" si="0"/>
        <v>2033</v>
      </c>
      <c r="G46">
        <v>74120.609091761202</v>
      </c>
      <c r="H46">
        <v>62123.238809040697</v>
      </c>
      <c r="I46">
        <v>61721.264475166099</v>
      </c>
      <c r="J46" s="11">
        <f t="shared" si="6"/>
        <v>47918.713579907082</v>
      </c>
      <c r="L46">
        <v>47918.713579907082</v>
      </c>
      <c r="R46" s="11">
        <f t="shared" si="4"/>
        <v>47918.713579907082</v>
      </c>
      <c r="S46" s="11">
        <f t="shared" si="7"/>
        <v>56105.088116505191</v>
      </c>
      <c r="T46" s="11">
        <f t="shared" si="8"/>
        <v>53901.601734951138</v>
      </c>
      <c r="U46" s="11">
        <f t="shared" si="9"/>
        <v>41596.004035976781</v>
      </c>
    </row>
    <row r="47" spans="2:22" x14ac:dyDescent="0.25">
      <c r="B47" s="11">
        <f t="shared" si="0"/>
        <v>2034</v>
      </c>
      <c r="G47">
        <v>73753.636332463095</v>
      </c>
      <c r="H47">
        <v>61313.619243674679</v>
      </c>
      <c r="I47">
        <v>60114.701061546017</v>
      </c>
      <c r="J47" s="11">
        <f t="shared" si="6"/>
        <v>45691.344267740496</v>
      </c>
      <c r="L47">
        <v>45691.344267740496</v>
      </c>
      <c r="R47" s="11">
        <f t="shared" si="4"/>
        <v>45691.344267740496</v>
      </c>
      <c r="S47" s="11">
        <f t="shared" si="7"/>
        <v>54940.143979974055</v>
      </c>
      <c r="T47" s="11">
        <f t="shared" si="8"/>
        <v>52002.162137901985</v>
      </c>
      <c r="U47" s="11">
        <f t="shared" si="9"/>
        <v>41596.004035976781</v>
      </c>
    </row>
    <row r="48" spans="2:22" x14ac:dyDescent="0.25">
      <c r="B48" s="11">
        <f t="shared" si="0"/>
        <v>2035</v>
      </c>
      <c r="G48">
        <v>73361.247325801945</v>
      </c>
      <c r="H48">
        <v>60293.426630425092</v>
      </c>
      <c r="I48">
        <v>58546.367756363717</v>
      </c>
      <c r="J48" s="11">
        <f t="shared" si="6"/>
        <v>43317.107361900649</v>
      </c>
      <c r="K48" s="11">
        <f>L48</f>
        <v>43317.107361900649</v>
      </c>
      <c r="L48">
        <v>43317.107361900649</v>
      </c>
      <c r="R48" s="11">
        <f t="shared" si="4"/>
        <v>43317.107361900649</v>
      </c>
      <c r="S48" s="11">
        <f t="shared" si="7"/>
        <v>53775.199843442919</v>
      </c>
      <c r="T48" s="11">
        <f t="shared" si="8"/>
        <v>50102.722540852832</v>
      </c>
      <c r="U48" s="11">
        <f t="shared" si="9"/>
        <v>41596.004035976781</v>
      </c>
    </row>
    <row r="49" spans="2:21" x14ac:dyDescent="0.25">
      <c r="B49" s="11">
        <f t="shared" si="0"/>
        <v>2036</v>
      </c>
      <c r="G49">
        <v>72917.071293246903</v>
      </c>
      <c r="H49">
        <v>58936.586295876157</v>
      </c>
      <c r="I49">
        <v>56961.169962709508</v>
      </c>
      <c r="K49" s="11">
        <f t="shared" ref="K49:K63" si="10">L49</f>
        <v>40658.825982217211</v>
      </c>
      <c r="L49">
        <v>40658.825982217211</v>
      </c>
      <c r="R49" s="11">
        <f t="shared" si="4"/>
        <v>40658.825982217211</v>
      </c>
      <c r="S49" s="11">
        <f t="shared" si="7"/>
        <v>52610.255706911783</v>
      </c>
      <c r="T49" s="11">
        <f t="shared" si="8"/>
        <v>48203.282943803679</v>
      </c>
      <c r="U49" s="11">
        <f t="shared" si="9"/>
        <v>41596.004035976781</v>
      </c>
    </row>
    <row r="50" spans="2:21" x14ac:dyDescent="0.25">
      <c r="B50" s="11">
        <f t="shared" si="0"/>
        <v>2037</v>
      </c>
      <c r="G50">
        <v>72424.142756466215</v>
      </c>
      <c r="H50">
        <v>56881.998385487343</v>
      </c>
      <c r="I50">
        <v>55467.71637767426</v>
      </c>
      <c r="K50" s="11">
        <f t="shared" si="10"/>
        <v>37805.203148331937</v>
      </c>
      <c r="L50">
        <v>37805.203148331937</v>
      </c>
      <c r="R50" s="11">
        <f t="shared" si="4"/>
        <v>37805.203148331937</v>
      </c>
      <c r="S50" s="11">
        <f t="shared" si="7"/>
        <v>51445.311570380647</v>
      </c>
      <c r="T50" s="11">
        <f t="shared" si="8"/>
        <v>46303.843346754526</v>
      </c>
      <c r="U50" s="11">
        <f t="shared" si="9"/>
        <v>41596.004035976781</v>
      </c>
    </row>
    <row r="51" spans="2:21" x14ac:dyDescent="0.25">
      <c r="B51" s="11">
        <f t="shared" si="0"/>
        <v>2038</v>
      </c>
      <c r="G51">
        <v>71894.40258272957</v>
      </c>
      <c r="H51">
        <v>55364.284506854558</v>
      </c>
      <c r="I51">
        <v>53888.566194697647</v>
      </c>
      <c r="K51" s="11">
        <f t="shared" si="10"/>
        <v>35225.547384867867</v>
      </c>
      <c r="L51">
        <v>35225.547384867867</v>
      </c>
      <c r="R51" s="11">
        <f t="shared" si="4"/>
        <v>35225.547384867867</v>
      </c>
      <c r="S51" s="11">
        <f t="shared" si="7"/>
        <v>50280.367433849511</v>
      </c>
      <c r="T51" s="11">
        <f t="shared" si="8"/>
        <v>44404.403749705372</v>
      </c>
      <c r="U51" s="11">
        <f t="shared" si="9"/>
        <v>41596.004035976781</v>
      </c>
    </row>
    <row r="52" spans="2:21" x14ac:dyDescent="0.25">
      <c r="B52" s="11">
        <f t="shared" si="0"/>
        <v>2039</v>
      </c>
      <c r="G52">
        <v>71318.544216806171</v>
      </c>
      <c r="H52">
        <v>53761.035836884272</v>
      </c>
      <c r="I52">
        <v>52362.657282695123</v>
      </c>
      <c r="K52" s="11">
        <f t="shared" si="10"/>
        <v>32718.370328216981</v>
      </c>
      <c r="L52">
        <v>32718.370328216981</v>
      </c>
      <c r="R52" s="11">
        <f t="shared" si="4"/>
        <v>32718.370328216981</v>
      </c>
      <c r="S52" s="11">
        <f t="shared" si="7"/>
        <v>49115.423297318375</v>
      </c>
      <c r="T52" s="11">
        <f t="shared" si="8"/>
        <v>42504.964152656219</v>
      </c>
      <c r="U52" s="11">
        <f t="shared" si="9"/>
        <v>41596.004035976781</v>
      </c>
    </row>
    <row r="53" spans="2:21" x14ac:dyDescent="0.25">
      <c r="B53" s="11">
        <f t="shared" si="0"/>
        <v>2040</v>
      </c>
      <c r="G53">
        <v>70156.604263525049</v>
      </c>
      <c r="H53">
        <v>51561.129998224133</v>
      </c>
      <c r="I53">
        <v>50423.285957962376</v>
      </c>
      <c r="K53" s="11">
        <f t="shared" si="10"/>
        <v>29842.833840660562</v>
      </c>
      <c r="L53">
        <v>29842.833840660562</v>
      </c>
      <c r="R53" s="11">
        <f t="shared" si="4"/>
        <v>29842.833840660562</v>
      </c>
      <c r="S53" s="11">
        <f t="shared" si="7"/>
        <v>47950.479160787239</v>
      </c>
      <c r="T53" s="11">
        <f t="shared" si="8"/>
        <v>40605.524555607066</v>
      </c>
      <c r="U53" s="11">
        <f t="shared" si="9"/>
        <v>41596.004035976781</v>
      </c>
    </row>
    <row r="54" spans="2:21" x14ac:dyDescent="0.25">
      <c r="B54" s="11">
        <f t="shared" si="0"/>
        <v>2041</v>
      </c>
      <c r="G54">
        <v>69508.169467390995</v>
      </c>
      <c r="H54">
        <v>50073.162402492308</v>
      </c>
      <c r="I54">
        <v>49303.702772718651</v>
      </c>
      <c r="K54" s="11">
        <f t="shared" si="10"/>
        <v>28036.25951644923</v>
      </c>
      <c r="L54">
        <v>28036.25951644923</v>
      </c>
      <c r="S54" s="11">
        <f t="shared" si="7"/>
        <v>46785.535024256103</v>
      </c>
      <c r="T54" s="11">
        <f t="shared" si="8"/>
        <v>38706.084958557913</v>
      </c>
    </row>
    <row r="55" spans="2:21" x14ac:dyDescent="0.25">
      <c r="B55" s="11">
        <f t="shared" si="0"/>
        <v>2042</v>
      </c>
      <c r="G55">
        <v>68735.459583831325</v>
      </c>
      <c r="H55">
        <v>48879.004362633379</v>
      </c>
      <c r="I55">
        <v>48105.063592400831</v>
      </c>
      <c r="K55" s="11">
        <f t="shared" si="10"/>
        <v>26617.950864448099</v>
      </c>
      <c r="L55">
        <v>26617.950864448099</v>
      </c>
      <c r="S55" s="11">
        <f t="shared" si="7"/>
        <v>45620.590887724968</v>
      </c>
      <c r="T55" s="11">
        <f t="shared" si="8"/>
        <v>36806.645361508759</v>
      </c>
    </row>
    <row r="56" spans="2:21" x14ac:dyDescent="0.25">
      <c r="B56" s="11">
        <f t="shared" si="0"/>
        <v>2043</v>
      </c>
      <c r="G56">
        <v>68178.818242336813</v>
      </c>
      <c r="H56">
        <v>48004.863126496843</v>
      </c>
      <c r="I56">
        <v>47053.262490184658</v>
      </c>
      <c r="K56" s="11">
        <f t="shared" si="10"/>
        <v>25487.52417057467</v>
      </c>
      <c r="L56">
        <v>25487.52417057467</v>
      </c>
      <c r="S56" s="11">
        <f t="shared" si="7"/>
        <v>44455.646751193832</v>
      </c>
      <c r="T56" s="11">
        <f t="shared" si="8"/>
        <v>34907.205764459606</v>
      </c>
    </row>
    <row r="57" spans="2:21" x14ac:dyDescent="0.25">
      <c r="B57" s="11">
        <f t="shared" si="0"/>
        <v>2044</v>
      </c>
      <c r="G57">
        <v>67619.939811578486</v>
      </c>
      <c r="H57">
        <v>47146.813060343171</v>
      </c>
      <c r="I57">
        <v>45979.282884844717</v>
      </c>
      <c r="K57" s="11">
        <f t="shared" si="10"/>
        <v>24403.98341498178</v>
      </c>
      <c r="L57">
        <v>24403.98341498178</v>
      </c>
      <c r="S57" s="11">
        <f t="shared" si="7"/>
        <v>43290.702614662696</v>
      </c>
      <c r="T57" s="11">
        <f t="shared" si="8"/>
        <v>33007.766167410453</v>
      </c>
    </row>
    <row r="58" spans="2:21" x14ac:dyDescent="0.25">
      <c r="B58" s="11">
        <f t="shared" si="0"/>
        <v>2045</v>
      </c>
      <c r="G58">
        <v>66948.874865987193</v>
      </c>
      <c r="H58">
        <v>46116.112641469022</v>
      </c>
      <c r="I58">
        <v>45013.143577015762</v>
      </c>
      <c r="K58" s="11">
        <f t="shared" si="10"/>
        <v>23425.947592946879</v>
      </c>
      <c r="L58">
        <v>23425.947592946879</v>
      </c>
      <c r="S58" s="11">
        <f t="shared" si="7"/>
        <v>42125.75847813156</v>
      </c>
      <c r="T58" s="11">
        <f t="shared" si="8"/>
        <v>31108.326570361296</v>
      </c>
    </row>
    <row r="59" spans="2:21" x14ac:dyDescent="0.25">
      <c r="B59" s="11">
        <f t="shared" si="0"/>
        <v>2046</v>
      </c>
      <c r="G59">
        <v>66186.155735003267</v>
      </c>
      <c r="H59">
        <v>44875.648131597998</v>
      </c>
      <c r="I59">
        <v>44007.677774802243</v>
      </c>
      <c r="K59" s="11">
        <f t="shared" si="10"/>
        <v>22351.67741242515</v>
      </c>
      <c r="L59">
        <v>22351.67741242515</v>
      </c>
      <c r="S59" s="11">
        <f t="shared" si="7"/>
        <v>40960.814341600424</v>
      </c>
      <c r="T59" s="11">
        <f t="shared" si="8"/>
        <v>29208.886973312139</v>
      </c>
    </row>
    <row r="60" spans="2:21" x14ac:dyDescent="0.25">
      <c r="B60" s="11">
        <f t="shared" si="0"/>
        <v>2047</v>
      </c>
      <c r="G60">
        <v>65472.304118134489</v>
      </c>
      <c r="H60">
        <v>43648.894849496974</v>
      </c>
      <c r="I60">
        <v>43156.591430133019</v>
      </c>
      <c r="K60" s="11">
        <f t="shared" si="10"/>
        <v>21462.727920249079</v>
      </c>
      <c r="L60">
        <v>21462.727920249079</v>
      </c>
      <c r="S60" s="11">
        <f t="shared" si="7"/>
        <v>39795.870205069288</v>
      </c>
      <c r="T60" s="11">
        <f t="shared" si="8"/>
        <v>27309.447376262982</v>
      </c>
    </row>
    <row r="61" spans="2:21" x14ac:dyDescent="0.25">
      <c r="B61" s="11">
        <f t="shared" si="0"/>
        <v>2048</v>
      </c>
      <c r="G61">
        <v>64777.467648226098</v>
      </c>
      <c r="H61">
        <v>42427.383000021669</v>
      </c>
      <c r="I61">
        <v>42414.201917250073</v>
      </c>
      <c r="K61" s="11">
        <f t="shared" si="10"/>
        <v>20737.472640968201</v>
      </c>
      <c r="L61">
        <v>20737.472640968201</v>
      </c>
      <c r="S61" s="11">
        <f t="shared" si="7"/>
        <v>38630.926068538152</v>
      </c>
      <c r="T61" s="11">
        <f t="shared" si="8"/>
        <v>25410.007779213825</v>
      </c>
    </row>
    <row r="62" spans="2:21" x14ac:dyDescent="0.25">
      <c r="B62" s="11">
        <f t="shared" si="0"/>
        <v>2049</v>
      </c>
      <c r="G62">
        <v>64048.739157210162</v>
      </c>
      <c r="H62">
        <v>41170.8691962335</v>
      </c>
      <c r="I62">
        <v>41626.547508459371</v>
      </c>
      <c r="K62" s="11">
        <f t="shared" si="10"/>
        <v>20036.39236687206</v>
      </c>
      <c r="L62">
        <v>20036.39236687206</v>
      </c>
      <c r="S62" s="11">
        <f t="shared" si="7"/>
        <v>37465.981932007016</v>
      </c>
      <c r="T62" s="11">
        <f t="shared" si="8"/>
        <v>23510.568182164669</v>
      </c>
    </row>
    <row r="63" spans="2:21" x14ac:dyDescent="0.25">
      <c r="B63" s="11">
        <f t="shared" si="0"/>
        <v>2050</v>
      </c>
      <c r="G63">
        <v>63053.936274505933</v>
      </c>
      <c r="H63">
        <v>39643.07147722684</v>
      </c>
      <c r="I63">
        <v>40839.166269831287</v>
      </c>
      <c r="K63" s="11">
        <f t="shared" si="10"/>
        <v>19404.684482154418</v>
      </c>
      <c r="L63">
        <v>19404.684482154418</v>
      </c>
      <c r="S63">
        <v>36301.037795475902</v>
      </c>
      <c r="T63">
        <v>21611.128585115486</v>
      </c>
    </row>
    <row r="64" spans="2:21" x14ac:dyDescent="0.25">
      <c r="B64" s="11"/>
    </row>
    <row r="65" spans="2:2" x14ac:dyDescent="0.25">
      <c r="B65" s="11"/>
    </row>
    <row r="66" spans="2:2" x14ac:dyDescent="0.25">
      <c r="B66" s="11"/>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47ADE-4EAA-422B-888C-267C4ED806AD}">
  <sheetPr>
    <tabColor theme="6"/>
  </sheetPr>
  <dimension ref="A1:AK49"/>
  <sheetViews>
    <sheetView topLeftCell="J1" workbookViewId="0">
      <selection activeCell="Y1" sqref="Y1:AH31"/>
    </sheetView>
  </sheetViews>
  <sheetFormatPr defaultRowHeight="15" x14ac:dyDescent="0.25"/>
  <cols>
    <col min="4" max="4" width="14.7109375" customWidth="1"/>
    <col min="10" max="10" width="12" customWidth="1"/>
    <col min="27" max="27" width="9.42578125" bestFit="1" customWidth="1"/>
  </cols>
  <sheetData>
    <row r="1" spans="2:37" x14ac:dyDescent="0.25">
      <c r="G1" t="s">
        <v>3</v>
      </c>
      <c r="H1" t="s">
        <v>6</v>
      </c>
      <c r="J1" t="s">
        <v>23</v>
      </c>
      <c r="L1" t="s">
        <v>3</v>
      </c>
      <c r="M1" t="s">
        <v>5</v>
      </c>
      <c r="P1" t="s">
        <v>3</v>
      </c>
      <c r="Q1" t="s">
        <v>4</v>
      </c>
      <c r="U1" t="s">
        <v>3</v>
      </c>
      <c r="V1" t="s">
        <v>7</v>
      </c>
      <c r="Y1" t="s">
        <v>8</v>
      </c>
      <c r="Z1" t="s">
        <v>29</v>
      </c>
      <c r="AC1" t="s">
        <v>8</v>
      </c>
      <c r="AD1" t="s">
        <v>30</v>
      </c>
      <c r="AG1" t="s">
        <v>8</v>
      </c>
      <c r="AH1" t="s">
        <v>31</v>
      </c>
      <c r="AK1" t="s">
        <v>32</v>
      </c>
    </row>
    <row r="2" spans="2:37" x14ac:dyDescent="0.25">
      <c r="G2">
        <v>1990</v>
      </c>
      <c r="H2" s="2">
        <f>'2021 Inventory emissions'!L3</f>
        <v>65129.226515368893</v>
      </c>
      <c r="I2" s="2"/>
      <c r="J2" s="2"/>
      <c r="K2" s="2"/>
      <c r="L2">
        <v>1990</v>
      </c>
      <c r="M2" s="2">
        <f>'2021 Inventory emissions'!B3</f>
        <v>25649.309105770299</v>
      </c>
      <c r="O2" s="16"/>
      <c r="P2">
        <v>1990</v>
      </c>
      <c r="Q2" s="2">
        <f>'2021 Inventory emissions'!D3</f>
        <v>32795.284477219553</v>
      </c>
      <c r="S2" s="16"/>
      <c r="U2">
        <v>1990</v>
      </c>
      <c r="V2" s="2">
        <f>'2021 Inventory emissions'!F3</f>
        <v>5754.7107843790409</v>
      </c>
      <c r="W2" s="16"/>
      <c r="Y2">
        <v>1990</v>
      </c>
      <c r="Z2" s="2">
        <f>'2021 Inventory emissions'!H3</f>
        <v>0</v>
      </c>
      <c r="AA2" s="2"/>
      <c r="AC2" s="9">
        <v>1990</v>
      </c>
      <c r="AD2" s="2">
        <f>'2021 Inventory emissions'!I3</f>
        <v>909.9493480000001</v>
      </c>
      <c r="AE2" s="2"/>
      <c r="AF2" s="2"/>
      <c r="AG2" s="9">
        <v>1990</v>
      </c>
      <c r="AH2" s="2">
        <f>'2021 Inventory emissions'!J3</f>
        <v>19.972799999999999</v>
      </c>
      <c r="AI2" s="2"/>
      <c r="AJ2" s="2"/>
      <c r="AK2" s="2">
        <f>SUM(Z2,AD2,AH2)</f>
        <v>929.92214800000011</v>
      </c>
    </row>
    <row r="3" spans="2:37" x14ac:dyDescent="0.25">
      <c r="G3">
        <v>1991</v>
      </c>
      <c r="H3" s="2">
        <f>'2021 Inventory emissions'!L4</f>
        <v>66005.336974661288</v>
      </c>
      <c r="I3" s="2"/>
      <c r="K3" s="16"/>
      <c r="L3">
        <v>1991</v>
      </c>
      <c r="M3" s="2">
        <f>'2021 Inventory emissions'!B4</f>
        <v>26332.7697403198</v>
      </c>
      <c r="N3" s="11"/>
      <c r="O3" s="16"/>
      <c r="P3">
        <v>1991</v>
      </c>
      <c r="Q3" s="2">
        <f>'2021 Inventory emissions'!D4</f>
        <v>32924.908944709969</v>
      </c>
      <c r="R3" s="11"/>
      <c r="S3" s="16"/>
      <c r="U3">
        <v>1991</v>
      </c>
      <c r="V3" s="2">
        <f>'2021 Inventory emissions'!F4</f>
        <v>5823.0064176315282</v>
      </c>
      <c r="W3" s="16"/>
      <c r="Y3">
        <v>1991</v>
      </c>
      <c r="Z3" s="2">
        <f>'2021 Inventory emissions'!H4</f>
        <v>0</v>
      </c>
      <c r="AA3" s="2"/>
      <c r="AC3" s="9">
        <v>1991</v>
      </c>
      <c r="AD3" s="2">
        <f>'2021 Inventory emissions'!I4</f>
        <v>903.78987199999995</v>
      </c>
      <c r="AE3" s="2"/>
      <c r="AF3" s="2"/>
      <c r="AG3" s="9">
        <v>1991</v>
      </c>
      <c r="AH3" s="2">
        <f>'2021 Inventory emissions'!J4</f>
        <v>20.862000000000002</v>
      </c>
      <c r="AI3" s="2"/>
      <c r="AJ3" s="2"/>
      <c r="AK3" s="2">
        <f t="shared" ref="AK3:AK31" si="0">SUM(Z3,AD3,AH3)</f>
        <v>924.65187199999991</v>
      </c>
    </row>
    <row r="4" spans="2:37" x14ac:dyDescent="0.25">
      <c r="G4">
        <v>1992</v>
      </c>
      <c r="H4" s="2">
        <f>'2021 Inventory emissions'!L5</f>
        <v>67153.484765902889</v>
      </c>
      <c r="I4" s="2"/>
      <c r="K4" s="16"/>
      <c r="L4">
        <v>1992</v>
      </c>
      <c r="M4" s="2">
        <f>'2021 Inventory emissions'!B5</f>
        <v>28274.938118667567</v>
      </c>
      <c r="N4" s="11"/>
      <c r="O4" s="16"/>
      <c r="P4">
        <v>1992</v>
      </c>
      <c r="Q4" s="2">
        <f>'2021 Inventory emissions'!D5</f>
        <v>32544.677181644191</v>
      </c>
      <c r="R4" s="11"/>
      <c r="S4" s="16"/>
      <c r="U4">
        <v>1992</v>
      </c>
      <c r="V4" s="2">
        <f>'2021 Inventory emissions'!F5</f>
        <v>5849.799365591135</v>
      </c>
      <c r="W4" s="16"/>
      <c r="Y4">
        <v>1992</v>
      </c>
      <c r="Z4" s="2">
        <f>'2021 Inventory emissions'!H5</f>
        <v>0.28599999999999998</v>
      </c>
      <c r="AA4" s="2"/>
      <c r="AC4" s="9">
        <v>1992</v>
      </c>
      <c r="AD4" s="2">
        <f>'2021 Inventory emissions'!I5</f>
        <v>461.87900000000002</v>
      </c>
      <c r="AE4" s="2"/>
      <c r="AF4" s="2"/>
      <c r="AG4" s="9">
        <v>1992</v>
      </c>
      <c r="AH4" s="2">
        <f>'2021 Inventory emissions'!J5</f>
        <v>21.905100000000001</v>
      </c>
      <c r="AI4" s="2"/>
      <c r="AJ4" s="2"/>
      <c r="AK4" s="2">
        <f t="shared" si="0"/>
        <v>484.07010000000002</v>
      </c>
    </row>
    <row r="5" spans="2:37" x14ac:dyDescent="0.25">
      <c r="G5">
        <v>1993</v>
      </c>
      <c r="H5" s="2">
        <f>'2021 Inventory emissions'!L6</f>
        <v>66913.439299932914</v>
      </c>
      <c r="I5" s="2"/>
      <c r="K5" s="16"/>
      <c r="L5">
        <v>1993</v>
      </c>
      <c r="M5" s="2">
        <f>'2021 Inventory emissions'!B6</f>
        <v>27862.725380849628</v>
      </c>
      <c r="N5" s="11"/>
      <c r="O5" s="16"/>
      <c r="P5">
        <v>1993</v>
      </c>
      <c r="Q5" s="2">
        <f>'2021 Inventory emissions'!D6</f>
        <v>32746.47693634409</v>
      </c>
      <c r="R5" s="11"/>
      <c r="S5" s="16"/>
      <c r="U5">
        <v>1993</v>
      </c>
      <c r="V5" s="2">
        <f>'2021 Inventory emissions'!F6</f>
        <v>6071.0299277391987</v>
      </c>
      <c r="W5" s="16"/>
      <c r="Y5">
        <v>1993</v>
      </c>
      <c r="Z5" s="2">
        <f>'2021 Inventory emissions'!H6</f>
        <v>0.35749999999999998</v>
      </c>
      <c r="AA5" s="2"/>
      <c r="AC5" s="9">
        <v>1993</v>
      </c>
      <c r="AD5" s="2">
        <f>'2021 Inventory emissions'!I6</f>
        <v>210.15700000000001</v>
      </c>
      <c r="AE5" s="2"/>
      <c r="AF5" s="2"/>
      <c r="AG5" s="9">
        <v>1993</v>
      </c>
      <c r="AH5" s="2">
        <f>'2021 Inventory emissions'!J6</f>
        <v>22.692555000000002</v>
      </c>
      <c r="AI5" s="2"/>
      <c r="AJ5" s="2"/>
      <c r="AK5" s="2">
        <f t="shared" si="0"/>
        <v>233.207055</v>
      </c>
    </row>
    <row r="6" spans="2:37" x14ac:dyDescent="0.25">
      <c r="G6">
        <v>1994</v>
      </c>
      <c r="H6" s="2">
        <f>'2021 Inventory emissions'!L7</f>
        <v>68135.376464034096</v>
      </c>
      <c r="I6" s="2"/>
      <c r="K6" s="16"/>
      <c r="L6">
        <v>1994</v>
      </c>
      <c r="M6" s="2">
        <f>'2021 Inventory emissions'!B7</f>
        <v>28027.523937585909</v>
      </c>
      <c r="N6" s="11"/>
      <c r="O6" s="16"/>
      <c r="P6">
        <v>1994</v>
      </c>
      <c r="Q6" s="2">
        <f>'2021 Inventory emissions'!D7</f>
        <v>33592.031276827278</v>
      </c>
      <c r="R6" s="11"/>
      <c r="S6" s="16"/>
      <c r="U6">
        <v>1994</v>
      </c>
      <c r="V6" s="2">
        <f>'2021 Inventory emissions'!F7</f>
        <v>6298.307387969423</v>
      </c>
      <c r="W6" s="16"/>
      <c r="Y6">
        <v>1994</v>
      </c>
      <c r="Z6" s="2">
        <f>'2021 Inventory emissions'!H7</f>
        <v>7.9053989014794901</v>
      </c>
      <c r="AA6" s="2"/>
      <c r="AC6" s="9">
        <v>1994</v>
      </c>
      <c r="AD6" s="2">
        <f>'2021 Inventory emissions'!I7</f>
        <v>186.178</v>
      </c>
      <c r="AE6" s="2"/>
      <c r="AF6" s="2"/>
      <c r="AG6" s="9">
        <v>1994</v>
      </c>
      <c r="AH6" s="2">
        <f>'2021 Inventory emissions'!J7</f>
        <v>23.43046275</v>
      </c>
      <c r="AI6" s="2"/>
      <c r="AJ6" s="2"/>
      <c r="AK6" s="2">
        <f t="shared" si="0"/>
        <v>217.51386165147949</v>
      </c>
    </row>
    <row r="7" spans="2:37" x14ac:dyDescent="0.25">
      <c r="G7">
        <v>1995</v>
      </c>
      <c r="H7" s="2">
        <f>'2021 Inventory emissions'!L8</f>
        <v>68913.125016027829</v>
      </c>
      <c r="I7" s="2"/>
      <c r="K7" s="16"/>
      <c r="L7">
        <v>1995</v>
      </c>
      <c r="M7" s="2">
        <f>'2021 Inventory emissions'!B8</f>
        <v>28148.848183332018</v>
      </c>
      <c r="N7" s="11"/>
      <c r="O7" s="16"/>
      <c r="P7">
        <v>1995</v>
      </c>
      <c r="Q7" s="2">
        <f>'2021 Inventory emissions'!D8</f>
        <v>34028.08788703235</v>
      </c>
      <c r="R7" s="11"/>
      <c r="S7" s="16"/>
      <c r="U7">
        <v>1995</v>
      </c>
      <c r="V7" s="2">
        <f>'2021 Inventory emissions'!F8</f>
        <v>6533.9774162252834</v>
      </c>
      <c r="W7" s="16"/>
      <c r="Y7">
        <v>1995</v>
      </c>
      <c r="Z7" s="2">
        <f>'2021 Inventory emissions'!H8</f>
        <v>24.51836355066736</v>
      </c>
      <c r="AA7" s="2"/>
      <c r="AC7" s="9">
        <v>1995</v>
      </c>
      <c r="AD7" s="2">
        <f>'2021 Inventory emissions'!I8</f>
        <v>153.27699999999999</v>
      </c>
      <c r="AE7" s="2"/>
      <c r="AF7" s="2"/>
      <c r="AG7" s="9">
        <v>1995</v>
      </c>
      <c r="AH7" s="2">
        <f>'2021 Inventory emissions'!J8</f>
        <v>24.4161658875</v>
      </c>
      <c r="AI7" s="2"/>
      <c r="AJ7" s="2"/>
      <c r="AK7" s="2">
        <f t="shared" si="0"/>
        <v>202.21152943816733</v>
      </c>
    </row>
    <row r="8" spans="2:37" x14ac:dyDescent="0.25">
      <c r="G8">
        <v>1996</v>
      </c>
      <c r="H8" s="2">
        <f>'2021 Inventory emissions'!L9</f>
        <v>70973.412800467049</v>
      </c>
      <c r="I8" s="2"/>
      <c r="K8" s="16"/>
      <c r="L8">
        <v>1996</v>
      </c>
      <c r="M8" s="2">
        <f>'2021 Inventory emissions'!B9</f>
        <v>29377.311418245212</v>
      </c>
      <c r="N8" s="11"/>
      <c r="O8" s="16"/>
      <c r="P8">
        <v>1996</v>
      </c>
      <c r="Q8" s="2">
        <f>'2021 Inventory emissions'!D9</f>
        <v>34618.850631721994</v>
      </c>
      <c r="R8" s="11"/>
      <c r="S8" s="16"/>
      <c r="U8">
        <v>1996</v>
      </c>
      <c r="V8" s="2">
        <f>'2021 Inventory emissions'!F9</f>
        <v>6610.6815411413927</v>
      </c>
      <c r="W8" s="16"/>
      <c r="Y8">
        <v>1996</v>
      </c>
      <c r="Z8" s="2">
        <f>'2021 Inventory emissions'!H9</f>
        <v>62.940755176522551</v>
      </c>
      <c r="AA8" s="2"/>
      <c r="AC8" s="9">
        <v>1996</v>
      </c>
      <c r="AD8" s="2">
        <f>'2021 Inventory emissions'!I9</f>
        <v>278.98099999999999</v>
      </c>
      <c r="AE8" s="2"/>
      <c r="AF8" s="2"/>
      <c r="AG8" s="9">
        <v>1996</v>
      </c>
      <c r="AH8" s="2">
        <f>'2021 Inventory emissions'!J9</f>
        <v>24.647454181931998</v>
      </c>
      <c r="AI8" s="2"/>
      <c r="AJ8" s="2"/>
      <c r="AK8" s="2">
        <f t="shared" si="0"/>
        <v>366.56920935845454</v>
      </c>
    </row>
    <row r="9" spans="2:37" x14ac:dyDescent="0.25">
      <c r="C9" t="s">
        <v>25</v>
      </c>
      <c r="D9" t="s">
        <v>103</v>
      </c>
      <c r="G9">
        <v>1997</v>
      </c>
      <c r="H9" s="2">
        <f>'2021 Inventory emissions'!L10</f>
        <v>73669.125622205378</v>
      </c>
      <c r="I9" s="2"/>
      <c r="K9" s="16"/>
      <c r="L9">
        <v>1997</v>
      </c>
      <c r="M9" s="2">
        <f>'2021 Inventory emissions'!B10</f>
        <v>31326.235691342339</v>
      </c>
      <c r="N9" s="11"/>
      <c r="O9" s="16"/>
      <c r="P9">
        <v>1997</v>
      </c>
      <c r="Q9" s="2">
        <f>'2021 Inventory emissions'!D10</f>
        <v>35320.984790658091</v>
      </c>
      <c r="R9" s="11"/>
      <c r="S9" s="16"/>
      <c r="U9">
        <v>1997</v>
      </c>
      <c r="V9" s="2">
        <f>'2021 Inventory emissions'!F10</f>
        <v>6700.384755254322</v>
      </c>
      <c r="W9" s="16"/>
      <c r="Y9">
        <v>1997</v>
      </c>
      <c r="Z9" s="2">
        <f>'2021 Inventory emissions'!H10</f>
        <v>94.830098059589844</v>
      </c>
      <c r="AA9" s="2"/>
      <c r="AC9" s="9">
        <v>1997</v>
      </c>
      <c r="AD9" s="2">
        <f>'2021 Inventory emissions'!I10</f>
        <v>201.10571999999999</v>
      </c>
      <c r="AE9" s="2"/>
      <c r="AF9" s="2"/>
      <c r="AG9" s="9">
        <v>1997</v>
      </c>
      <c r="AH9" s="2">
        <f>'2021 Inventory emissions'!J10</f>
        <v>25.584566891040001</v>
      </c>
      <c r="AI9" s="2"/>
      <c r="AJ9" s="2"/>
      <c r="AK9" s="2">
        <f t="shared" si="0"/>
        <v>321.52038495062988</v>
      </c>
    </row>
    <row r="10" spans="2:37" x14ac:dyDescent="0.25">
      <c r="C10">
        <v>1</v>
      </c>
      <c r="G10">
        <v>1998</v>
      </c>
      <c r="H10" s="2">
        <f>'2021 Inventory emissions'!L11</f>
        <v>71569.277743588187</v>
      </c>
      <c r="I10" s="2"/>
      <c r="K10" s="16"/>
      <c r="L10">
        <v>1998</v>
      </c>
      <c r="M10" s="2">
        <f>'2021 Inventory emissions'!B11</f>
        <v>29930.577750031774</v>
      </c>
      <c r="N10" s="11"/>
      <c r="O10" s="16"/>
      <c r="P10">
        <v>1998</v>
      </c>
      <c r="Q10" s="2">
        <f>'2021 Inventory emissions'!D11</f>
        <v>34707.776842689855</v>
      </c>
      <c r="R10" s="11"/>
      <c r="S10" s="16"/>
      <c r="U10">
        <v>1998</v>
      </c>
      <c r="V10" s="2">
        <f>'2021 Inventory emissions'!F11</f>
        <v>6632.8532313954647</v>
      </c>
      <c r="W10" s="16"/>
      <c r="Y10">
        <v>1998</v>
      </c>
      <c r="Z10" s="2">
        <f>'2021 Inventory emissions'!H11</f>
        <v>121.82962423549748</v>
      </c>
      <c r="AA10" s="2"/>
      <c r="AC10" s="9">
        <v>1998</v>
      </c>
      <c r="AD10" s="2">
        <f>'2021 Inventory emissions'!I11</f>
        <v>151.38290000000001</v>
      </c>
      <c r="AE10" s="2"/>
      <c r="AF10" s="2"/>
      <c r="AG10" s="9">
        <v>1998</v>
      </c>
      <c r="AH10" s="2">
        <f>'2021 Inventory emissions'!J11</f>
        <v>24.857395235591998</v>
      </c>
      <c r="AI10" s="2"/>
      <c r="AJ10" s="2"/>
      <c r="AK10" s="2">
        <f t="shared" si="0"/>
        <v>298.06991947108946</v>
      </c>
    </row>
    <row r="11" spans="2:37" x14ac:dyDescent="0.25">
      <c r="C11">
        <f ca="1">OFFSET(A18,0,'NDC tool'!B4)</f>
        <v>25</v>
      </c>
      <c r="G11">
        <v>1999</v>
      </c>
      <c r="H11" s="2">
        <f>'2021 Inventory emissions'!L12</f>
        <v>73366.38051052326</v>
      </c>
      <c r="I11" s="2"/>
      <c r="K11" s="16"/>
      <c r="L11">
        <v>1999</v>
      </c>
      <c r="M11" s="2">
        <f>'2021 Inventory emissions'!B12</f>
        <v>31537.743677365612</v>
      </c>
      <c r="N11" s="11"/>
      <c r="O11" s="16"/>
      <c r="P11">
        <v>1999</v>
      </c>
      <c r="Q11" s="2">
        <f>'2021 Inventory emissions'!D12</f>
        <v>34893.563246658465</v>
      </c>
      <c r="R11" s="11"/>
      <c r="S11" s="16"/>
      <c r="U11">
        <v>1999</v>
      </c>
      <c r="V11" s="2">
        <f>'2021 Inventory emissions'!F12</f>
        <v>6663.8582314592622</v>
      </c>
      <c r="W11" s="16"/>
      <c r="Y11">
        <v>1999</v>
      </c>
      <c r="Z11" s="2">
        <f>'2021 Inventory emissions'!H12</f>
        <v>177.98407004271274</v>
      </c>
      <c r="AA11" s="2"/>
      <c r="AC11" s="9">
        <v>1999</v>
      </c>
      <c r="AD11" s="2">
        <f>'2021 Inventory emissions'!I12</f>
        <v>68.666600000000003</v>
      </c>
      <c r="AE11" s="2"/>
      <c r="AF11" s="2"/>
      <c r="AG11" s="9">
        <v>1999</v>
      </c>
      <c r="AH11" s="2">
        <f>'2021 Inventory emissions'!J12</f>
        <v>24.564684997211998</v>
      </c>
      <c r="AI11" s="2"/>
      <c r="AJ11" s="2"/>
      <c r="AK11" s="2">
        <f t="shared" si="0"/>
        <v>271.21535503992476</v>
      </c>
    </row>
    <row r="12" spans="2:37" x14ac:dyDescent="0.25">
      <c r="C12">
        <f ca="1">OFFSET(A19,0,'NDC tool'!B4)</f>
        <v>298</v>
      </c>
      <c r="G12">
        <v>2000</v>
      </c>
      <c r="H12" s="2">
        <f>'2021 Inventory emissions'!L13</f>
        <v>75397.63138367908</v>
      </c>
      <c r="I12" s="2"/>
      <c r="K12" s="16"/>
      <c r="L12">
        <v>2000</v>
      </c>
      <c r="M12" s="2">
        <f>'2021 Inventory emissions'!B13</f>
        <v>32339.418733235547</v>
      </c>
      <c r="N12" s="11"/>
      <c r="O12" s="16"/>
      <c r="P12">
        <v>2000</v>
      </c>
      <c r="Q12" s="2">
        <f>'2021 Inventory emissions'!D13</f>
        <v>35771.59505917324</v>
      </c>
      <c r="R12" s="11"/>
      <c r="S12" s="16"/>
      <c r="U12">
        <v>2000</v>
      </c>
      <c r="V12" s="2">
        <f>'2021 Inventory emissions'!F13</f>
        <v>6965.7964486202745</v>
      </c>
      <c r="W12" s="16"/>
      <c r="Y12">
        <v>2000</v>
      </c>
      <c r="Z12" s="2">
        <f>'2021 Inventory emissions'!H13</f>
        <v>233.64728767108627</v>
      </c>
      <c r="AA12" s="2"/>
      <c r="AC12" s="9">
        <v>2000</v>
      </c>
      <c r="AD12" s="2">
        <f>'2021 Inventory emissions'!I13</f>
        <v>67.609700000000004</v>
      </c>
      <c r="AE12" s="2"/>
      <c r="AF12" s="2"/>
      <c r="AG12" s="9">
        <v>2000</v>
      </c>
      <c r="AH12" s="2">
        <f>'2021 Inventory emissions'!J13</f>
        <v>19.564154978927998</v>
      </c>
      <c r="AI12" s="2"/>
      <c r="AJ12" s="2"/>
      <c r="AK12" s="2">
        <f t="shared" si="0"/>
        <v>320.82114265001428</v>
      </c>
    </row>
    <row r="13" spans="2:37" x14ac:dyDescent="0.25">
      <c r="G13">
        <v>2001</v>
      </c>
      <c r="H13" s="2">
        <f>'2021 Inventory emissions'!L14</f>
        <v>78386.35624085147</v>
      </c>
      <c r="I13" s="2"/>
      <c r="K13" s="16"/>
      <c r="L13">
        <v>2001</v>
      </c>
      <c r="M13" s="2">
        <f>'2021 Inventory emissions'!B14</f>
        <v>34490.004549852994</v>
      </c>
      <c r="N13" s="11"/>
      <c r="O13" s="16"/>
      <c r="P13">
        <v>2001</v>
      </c>
      <c r="Q13" s="2">
        <f>'2021 Inventory emissions'!D14</f>
        <v>36173.892979759941</v>
      </c>
      <c r="R13" s="11"/>
      <c r="S13" s="16"/>
      <c r="U13">
        <v>2001</v>
      </c>
      <c r="V13" s="2">
        <f>'2021 Inventory emissions'!F14</f>
        <v>7331.7145982095562</v>
      </c>
      <c r="W13" s="16"/>
      <c r="Y13">
        <v>2001</v>
      </c>
      <c r="Z13" s="2">
        <f>'2021 Inventory emissions'!H14</f>
        <v>300.09707980593549</v>
      </c>
      <c r="AA13" s="2"/>
      <c r="AC13" s="9">
        <v>2001</v>
      </c>
      <c r="AD13" s="2">
        <f>'2021 Inventory emissions'!I14</f>
        <v>70.610299999999995</v>
      </c>
      <c r="AE13" s="2"/>
      <c r="AF13" s="2"/>
      <c r="AG13" s="9">
        <v>2001</v>
      </c>
      <c r="AH13" s="2">
        <f>'2021 Inventory emissions'!J14</f>
        <v>20.036733223043999</v>
      </c>
      <c r="AI13" s="2"/>
      <c r="AJ13" s="2"/>
      <c r="AK13" s="2">
        <f t="shared" si="0"/>
        <v>390.74411302897948</v>
      </c>
    </row>
    <row r="14" spans="2:37" x14ac:dyDescent="0.25">
      <c r="G14">
        <v>2002</v>
      </c>
      <c r="H14" s="2">
        <f>'2021 Inventory emissions'!L15</f>
        <v>78563.491811193337</v>
      </c>
      <c r="I14" s="2"/>
      <c r="K14" s="16"/>
      <c r="L14">
        <v>2002</v>
      </c>
      <c r="M14" s="2">
        <f>'2021 Inventory emissions'!B15</f>
        <v>34659.518598182054</v>
      </c>
      <c r="N14" s="11"/>
      <c r="O14" s="16"/>
      <c r="P14">
        <v>2002</v>
      </c>
      <c r="Q14" s="2">
        <f>'2021 Inventory emissions'!D15</f>
        <v>35961.728281598938</v>
      </c>
      <c r="R14" s="11"/>
      <c r="S14" s="16"/>
      <c r="U14">
        <v>2002</v>
      </c>
      <c r="V14" s="2">
        <f>'2021 Inventory emissions'!F15</f>
        <v>7433.079502090086</v>
      </c>
      <c r="W14" s="16"/>
      <c r="Y14">
        <v>2002</v>
      </c>
      <c r="Z14" s="2">
        <f>'2021 Inventory emissions'!H15</f>
        <v>401.36360371201835</v>
      </c>
      <c r="AA14" s="2"/>
      <c r="AC14" s="9">
        <v>2002</v>
      </c>
      <c r="AD14" s="2">
        <f>'2021 Inventory emissions'!I15</f>
        <v>84.484449999999995</v>
      </c>
      <c r="AE14" s="2"/>
      <c r="AF14" s="2"/>
      <c r="AG14" s="9">
        <v>2002</v>
      </c>
      <c r="AH14" s="2">
        <f>'2021 Inventory emissions'!J15</f>
        <v>23.317375610244</v>
      </c>
      <c r="AI14" s="2"/>
      <c r="AJ14" s="2"/>
      <c r="AK14" s="2">
        <f t="shared" si="0"/>
        <v>509.1654293222623</v>
      </c>
    </row>
    <row r="15" spans="2:37" x14ac:dyDescent="0.25">
      <c r="B15" t="s">
        <v>16</v>
      </c>
      <c r="G15">
        <v>2003</v>
      </c>
      <c r="H15" s="2">
        <f>'2021 Inventory emissions'!L16</f>
        <v>80733.637523261496</v>
      </c>
      <c r="I15" s="2"/>
      <c r="K15" s="16"/>
      <c r="L15">
        <v>2003</v>
      </c>
      <c r="M15" s="2">
        <f>'2021 Inventory emissions'!B16</f>
        <v>36300.949726775027</v>
      </c>
      <c r="N15" s="11"/>
      <c r="O15" s="16"/>
      <c r="P15">
        <v>2003</v>
      </c>
      <c r="Q15" s="2">
        <f>'2021 Inventory emissions'!D16</f>
        <v>36080.50430262302</v>
      </c>
      <c r="R15" s="11"/>
      <c r="S15" s="16"/>
      <c r="U15">
        <v>2003</v>
      </c>
      <c r="V15" s="2">
        <f>'2021 Inventory emissions'!F16</f>
        <v>7696.3378830400043</v>
      </c>
      <c r="W15" s="16"/>
      <c r="Y15">
        <v>2003</v>
      </c>
      <c r="Z15" s="2">
        <f>'2021 Inventory emissions'!H16</f>
        <v>503.84525233029319</v>
      </c>
      <c r="AA15" s="2"/>
      <c r="AC15" s="9">
        <v>2003</v>
      </c>
      <c r="AD15" s="2">
        <f>'2021 Inventory emissions'!I16</f>
        <v>126.813</v>
      </c>
      <c r="AE15" s="2"/>
      <c r="AF15" s="2"/>
      <c r="AG15" s="9">
        <v>2003</v>
      </c>
      <c r="AH15" s="2">
        <f>'2021 Inventory emissions'!J16</f>
        <v>25.187358493152001</v>
      </c>
      <c r="AI15" s="2"/>
      <c r="AJ15" s="2"/>
      <c r="AK15" s="2">
        <f t="shared" si="0"/>
        <v>655.84561082344521</v>
      </c>
    </row>
    <row r="16" spans="2:37" x14ac:dyDescent="0.25">
      <c r="B16" t="s">
        <v>12</v>
      </c>
      <c r="C16" t="s">
        <v>11</v>
      </c>
      <c r="D16" t="s">
        <v>191</v>
      </c>
      <c r="E16" t="s">
        <v>15</v>
      </c>
      <c r="G16">
        <v>2004</v>
      </c>
      <c r="H16" s="2">
        <f>'2021 Inventory emissions'!L17</f>
        <v>80548.784687966036</v>
      </c>
      <c r="I16" s="2"/>
      <c r="K16" s="16"/>
      <c r="L16">
        <v>2004</v>
      </c>
      <c r="M16" s="2">
        <f>'2021 Inventory emissions'!B17</f>
        <v>35953.304478224054</v>
      </c>
      <c r="N16" s="11"/>
      <c r="O16" s="16"/>
      <c r="P16">
        <v>2004</v>
      </c>
      <c r="Q16" s="2">
        <f>'2021 Inventory emissions'!D17</f>
        <v>36055.407126860766</v>
      </c>
      <c r="R16" s="11"/>
      <c r="S16" s="16"/>
      <c r="U16">
        <v>2004</v>
      </c>
      <c r="V16" s="2">
        <f>'2021 Inventory emissions'!F17</f>
        <v>7829.4652893707826</v>
      </c>
      <c r="W16" s="16"/>
      <c r="Y16">
        <v>2004</v>
      </c>
      <c r="Z16" s="2">
        <f>'2021 Inventory emissions'!H17</f>
        <v>582.5767049860724</v>
      </c>
      <c r="AA16" s="2"/>
      <c r="AC16" s="9">
        <v>2004</v>
      </c>
      <c r="AD16" s="2">
        <f>'2021 Inventory emissions'!I17</f>
        <v>99.115250000000003</v>
      </c>
      <c r="AE16" s="2"/>
      <c r="AF16" s="2"/>
      <c r="AG16" s="9">
        <v>2004</v>
      </c>
      <c r="AH16" s="2">
        <f>'2021 Inventory emissions'!J17</f>
        <v>28.915838524356001</v>
      </c>
      <c r="AI16" s="2"/>
      <c r="AJ16" s="2"/>
      <c r="AK16" s="2">
        <f t="shared" si="0"/>
        <v>710.60779351042845</v>
      </c>
    </row>
    <row r="17" spans="1:37" x14ac:dyDescent="0.25">
      <c r="A17" t="s">
        <v>0</v>
      </c>
      <c r="B17">
        <v>1</v>
      </c>
      <c r="C17">
        <v>1</v>
      </c>
      <c r="D17">
        <v>1</v>
      </c>
      <c r="E17">
        <v>1</v>
      </c>
      <c r="G17">
        <v>2005</v>
      </c>
      <c r="H17" s="2">
        <f>'2021 Inventory emissions'!L18</f>
        <v>82486.171924099879</v>
      </c>
      <c r="I17" s="2"/>
      <c r="K17" s="7"/>
      <c r="L17">
        <v>2005</v>
      </c>
      <c r="M17" s="2">
        <f>'2021 Inventory emissions'!B18</f>
        <v>37553.453956005826</v>
      </c>
      <c r="N17" s="11"/>
      <c r="O17" s="16"/>
      <c r="P17">
        <v>2005</v>
      </c>
      <c r="Q17" s="2">
        <f>'2021 Inventory emissions'!D18</f>
        <v>36244.593751371925</v>
      </c>
      <c r="R17" s="11"/>
      <c r="S17" s="16"/>
      <c r="U17">
        <v>2005</v>
      </c>
      <c r="V17" s="2">
        <f>'2021 Inventory emissions'!F18</f>
        <v>7899.3201666642744</v>
      </c>
      <c r="W17" s="16"/>
      <c r="Y17">
        <v>2005</v>
      </c>
      <c r="Z17" s="2">
        <f>'2021 Inventory emissions'!H18</f>
        <v>694.01071579338009</v>
      </c>
      <c r="AA17" s="2"/>
      <c r="AC17" s="9">
        <v>2005</v>
      </c>
      <c r="AD17" s="2">
        <f>'2021 Inventory emissions'!I18</f>
        <v>69.379800000000003</v>
      </c>
      <c r="AE17" s="2"/>
      <c r="AF17" s="2"/>
      <c r="AG17" s="9">
        <v>2005</v>
      </c>
      <c r="AH17" s="2">
        <f>'2021 Inventory emissions'!J18</f>
        <v>25.413534264468002</v>
      </c>
      <c r="AI17" s="2"/>
      <c r="AJ17" s="2"/>
      <c r="AK17" s="2">
        <f t="shared" si="0"/>
        <v>788.80405005784814</v>
      </c>
    </row>
    <row r="18" spans="1:37" x14ac:dyDescent="0.25">
      <c r="A18" t="s">
        <v>1</v>
      </c>
      <c r="B18">
        <v>21</v>
      </c>
      <c r="C18">
        <v>25</v>
      </c>
      <c r="D18">
        <v>28</v>
      </c>
      <c r="E18">
        <v>34</v>
      </c>
      <c r="G18">
        <v>2006</v>
      </c>
      <c r="H18" s="2">
        <f>'2021 Inventory emissions'!L19</f>
        <v>82518.412588562307</v>
      </c>
      <c r="I18" s="2"/>
      <c r="K18" s="16"/>
      <c r="L18">
        <v>2006</v>
      </c>
      <c r="M18" s="2">
        <f>'2021 Inventory emissions'!B19</f>
        <v>37543.424751924576</v>
      </c>
      <c r="N18" s="11"/>
      <c r="O18" s="16"/>
      <c r="P18">
        <v>2006</v>
      </c>
      <c r="Q18" s="2">
        <f>'2021 Inventory emissions'!D19</f>
        <v>36354.297061595331</v>
      </c>
      <c r="R18" s="11"/>
      <c r="S18" s="16"/>
      <c r="U18">
        <v>2006</v>
      </c>
      <c r="V18" s="2">
        <f>'2021 Inventory emissions'!F19</f>
        <v>7694.2327457801621</v>
      </c>
      <c r="W18" s="16"/>
      <c r="Y18">
        <v>2006</v>
      </c>
      <c r="Z18" s="2">
        <f>'2021 Inventory emissions'!H19</f>
        <v>798.68050821832253</v>
      </c>
      <c r="AA18" s="2"/>
      <c r="AC18" s="9">
        <v>2006</v>
      </c>
      <c r="AD18" s="2">
        <f>'2021 Inventory emissions'!I19</f>
        <v>106.73165</v>
      </c>
      <c r="AE18" s="2"/>
      <c r="AF18" s="2"/>
      <c r="AG18" s="9">
        <v>2006</v>
      </c>
      <c r="AH18" s="2">
        <f>'2021 Inventory emissions'!J19</f>
        <v>21.045871043916001</v>
      </c>
      <c r="AI18" s="2"/>
      <c r="AJ18" s="2"/>
      <c r="AK18" s="2">
        <f t="shared" si="0"/>
        <v>926.45802926223848</v>
      </c>
    </row>
    <row r="19" spans="1:37" x14ac:dyDescent="0.25">
      <c r="A19" t="s">
        <v>2</v>
      </c>
      <c r="B19">
        <v>310</v>
      </c>
      <c r="C19">
        <v>298</v>
      </c>
      <c r="D19">
        <v>265</v>
      </c>
      <c r="E19">
        <v>298</v>
      </c>
      <c r="G19">
        <v>2007</v>
      </c>
      <c r="H19" s="2">
        <f>'2021 Inventory emissions'!L20</f>
        <v>80522.566233453137</v>
      </c>
      <c r="I19" s="2"/>
      <c r="K19" s="16"/>
      <c r="L19">
        <v>2007</v>
      </c>
      <c r="M19" s="2">
        <f>'2021 Inventory emissions'!B20</f>
        <v>36657.302672291167</v>
      </c>
      <c r="N19" s="11"/>
      <c r="O19" s="16"/>
      <c r="P19">
        <v>2007</v>
      </c>
      <c r="Q19" s="2">
        <f>'2021 Inventory emissions'!D20</f>
        <v>35387.367915442635</v>
      </c>
      <c r="R19" s="11"/>
      <c r="S19" s="16"/>
      <c r="U19">
        <v>2007</v>
      </c>
      <c r="V19" s="2">
        <f>'2021 Inventory emissions'!F20</f>
        <v>7502.789236975008</v>
      </c>
      <c r="W19" s="16"/>
      <c r="Y19">
        <v>2007</v>
      </c>
      <c r="Z19" s="2">
        <f>'2021 Inventory emissions'!H20</f>
        <v>906.82632422648874</v>
      </c>
      <c r="AA19" s="2"/>
      <c r="AC19" s="9">
        <v>2007</v>
      </c>
      <c r="AD19" s="2">
        <f>'2021 Inventory emissions'!I20</f>
        <v>48.405459999999998</v>
      </c>
      <c r="AE19" s="2"/>
      <c r="AF19" s="2"/>
      <c r="AG19" s="9">
        <v>2007</v>
      </c>
      <c r="AH19" s="2">
        <f>'2021 Inventory emissions'!J20</f>
        <v>19.874624517840001</v>
      </c>
      <c r="AI19" s="2"/>
      <c r="AJ19" s="2"/>
      <c r="AK19" s="2">
        <f t="shared" si="0"/>
        <v>975.10640874432863</v>
      </c>
    </row>
    <row r="20" spans="1:37" x14ac:dyDescent="0.25">
      <c r="A20" s="11"/>
      <c r="B20" s="11"/>
      <c r="C20" s="11"/>
      <c r="D20" s="11"/>
      <c r="G20">
        <v>2008</v>
      </c>
      <c r="H20" s="2">
        <f>'2021 Inventory emissions'!L21</f>
        <v>80605.445422068238</v>
      </c>
      <c r="I20" s="2"/>
      <c r="J20" s="2"/>
      <c r="K20" s="16"/>
      <c r="L20">
        <v>2008</v>
      </c>
      <c r="M20" s="2">
        <f>'2021 Inventory emissions'!B21</f>
        <v>37713.283344176642</v>
      </c>
      <c r="N20" s="11"/>
      <c r="O20" s="16"/>
      <c r="P20">
        <v>2008</v>
      </c>
      <c r="Q20" s="2">
        <f>'2021 Inventory emissions'!D21</f>
        <v>34315.002734991831</v>
      </c>
      <c r="R20" s="11"/>
      <c r="S20" s="16"/>
      <c r="U20">
        <v>2008</v>
      </c>
      <c r="V20" s="2">
        <f>'2021 Inventory emissions'!F21</f>
        <v>7501.4638814717282</v>
      </c>
      <c r="W20" s="16"/>
      <c r="Y20">
        <v>2008</v>
      </c>
      <c r="Z20" s="2">
        <f>'2021 Inventory emissions'!H21</f>
        <v>1010.886769818749</v>
      </c>
      <c r="AA20" s="2"/>
      <c r="AC20" s="9">
        <v>2008</v>
      </c>
      <c r="AD20" s="2">
        <f>'2021 Inventory emissions'!I21</f>
        <v>45.467469999999999</v>
      </c>
      <c r="AE20" s="2"/>
      <c r="AF20" s="2"/>
      <c r="AG20" s="9">
        <v>2008</v>
      </c>
      <c r="AH20" s="2">
        <f>'2021 Inventory emissions'!J21</f>
        <v>19.341221609291999</v>
      </c>
      <c r="AI20" s="2"/>
      <c r="AJ20" s="2"/>
      <c r="AK20" s="2">
        <f t="shared" si="0"/>
        <v>1075.695461428041</v>
      </c>
    </row>
    <row r="21" spans="1:37" x14ac:dyDescent="0.25">
      <c r="G21">
        <v>2009</v>
      </c>
      <c r="H21" s="2">
        <f>'2021 Inventory emissions'!L22</f>
        <v>77881.950907245307</v>
      </c>
      <c r="I21" s="2"/>
      <c r="J21" s="2"/>
      <c r="K21" s="16"/>
      <c r="L21">
        <v>2009</v>
      </c>
      <c r="M21" s="2">
        <f>'2021 Inventory emissions'!B22</f>
        <v>34882.460053019895</v>
      </c>
      <c r="N21" s="11"/>
      <c r="O21" s="16"/>
      <c r="P21">
        <v>2009</v>
      </c>
      <c r="Q21" s="2">
        <f>'2021 Inventory emissions'!D22</f>
        <v>34427.390251652483</v>
      </c>
      <c r="R21" s="11"/>
      <c r="S21" s="16"/>
      <c r="U21">
        <v>2009</v>
      </c>
      <c r="V21" s="2">
        <f>'2021 Inventory emissions'!F22</f>
        <v>7501.6438605104313</v>
      </c>
      <c r="W21" s="16"/>
      <c r="Y21">
        <v>2009</v>
      </c>
      <c r="Z21" s="2">
        <f>'2021 Inventory emissions'!H22</f>
        <v>994.06268327978239</v>
      </c>
      <c r="AA21" s="2"/>
      <c r="AC21" s="9">
        <v>2009</v>
      </c>
      <c r="AD21" s="2">
        <f>'2021 Inventory emissions'!I22</f>
        <v>53.857970000000002</v>
      </c>
      <c r="AE21" s="2"/>
      <c r="AF21" s="2"/>
      <c r="AG21" s="9">
        <v>2009</v>
      </c>
      <c r="AH21" s="2">
        <f>'2021 Inventory emissions'!J22</f>
        <v>22.536088782707999</v>
      </c>
      <c r="AI21" s="2"/>
      <c r="AJ21" s="2"/>
      <c r="AK21" s="2">
        <f t="shared" si="0"/>
        <v>1070.4567420624903</v>
      </c>
    </row>
    <row r="22" spans="1:37" x14ac:dyDescent="0.25">
      <c r="E22" s="2"/>
      <c r="G22">
        <v>2010</v>
      </c>
      <c r="H22" s="2">
        <f>'2021 Inventory emissions'!L23</f>
        <v>78316.411481151765</v>
      </c>
      <c r="I22" s="2"/>
      <c r="J22" s="2"/>
      <c r="K22" s="16"/>
      <c r="L22">
        <v>2010</v>
      </c>
      <c r="M22" s="2">
        <f>'2021 Inventory emissions'!B23</f>
        <v>35031.266478375284</v>
      </c>
      <c r="N22" s="11"/>
      <c r="O22" s="16"/>
      <c r="P22">
        <v>2010</v>
      </c>
      <c r="Q22" s="2">
        <f>'2021 Inventory emissions'!D23</f>
        <v>34518.563410329858</v>
      </c>
      <c r="R22" s="11"/>
      <c r="S22" s="16"/>
      <c r="U22">
        <v>2010</v>
      </c>
      <c r="V22" s="2">
        <f>'2021 Inventory emissions'!F23</f>
        <v>7642.8737238418171</v>
      </c>
      <c r="W22" s="16"/>
      <c r="Y22">
        <v>2010</v>
      </c>
      <c r="Z22" s="2">
        <f>'2021 Inventory emissions'!H23</f>
        <v>1053.3088123697455</v>
      </c>
      <c r="AA22" s="2"/>
      <c r="AC22" s="9">
        <v>2010</v>
      </c>
      <c r="AD22" s="2">
        <f>'2021 Inventory emissions'!I23</f>
        <v>47.561549999999997</v>
      </c>
      <c r="AE22" s="2"/>
      <c r="AF22" s="2"/>
      <c r="AG22" s="9">
        <v>2010</v>
      </c>
      <c r="AH22" s="2">
        <f>'2021 Inventory emissions'!J23</f>
        <v>22.837506235068002</v>
      </c>
      <c r="AI22" s="2"/>
      <c r="AJ22" s="2"/>
      <c r="AK22" s="2">
        <f t="shared" si="0"/>
        <v>1123.7078686048135</v>
      </c>
    </row>
    <row r="23" spans="1:37" x14ac:dyDescent="0.25">
      <c r="G23">
        <v>2011</v>
      </c>
      <c r="H23" s="2">
        <f>'2021 Inventory emissions'!L24</f>
        <v>78149.235041513632</v>
      </c>
      <c r="I23" s="2"/>
      <c r="J23" s="2"/>
      <c r="K23" s="16"/>
      <c r="L23">
        <v>2011</v>
      </c>
      <c r="M23" s="2">
        <f>'2021 Inventory emissions'!B24</f>
        <v>34497.004314652047</v>
      </c>
      <c r="N23" s="11"/>
      <c r="O23" s="16"/>
      <c r="P23">
        <v>2011</v>
      </c>
      <c r="Q23" s="2">
        <f>'2021 Inventory emissions'!D24</f>
        <v>34592.461664435577</v>
      </c>
      <c r="R23" s="11"/>
      <c r="S23" s="16"/>
      <c r="U23">
        <v>2011</v>
      </c>
      <c r="V23" s="2">
        <f>'2021 Inventory emissions'!F24</f>
        <v>7823.1043540585724</v>
      </c>
      <c r="W23" s="16"/>
      <c r="Y23">
        <v>2011</v>
      </c>
      <c r="Z23" s="2">
        <f>'2021 Inventory emissions'!H24</f>
        <v>1182.5731954922828</v>
      </c>
      <c r="AA23" s="2"/>
      <c r="AC23" s="9">
        <v>2011</v>
      </c>
      <c r="AD23" s="2">
        <f>'2021 Inventory emissions'!I24</f>
        <v>35.151732956845002</v>
      </c>
      <c r="AE23" s="2"/>
      <c r="AF23" s="2"/>
      <c r="AG23" s="9">
        <v>2011</v>
      </c>
      <c r="AH23" s="2">
        <f>'2021 Inventory emissions'!J24</f>
        <v>18.939779918304001</v>
      </c>
      <c r="AI23" s="2"/>
      <c r="AJ23" s="2"/>
      <c r="AK23" s="2">
        <f t="shared" si="0"/>
        <v>1236.664708367432</v>
      </c>
    </row>
    <row r="24" spans="1:37" x14ac:dyDescent="0.25">
      <c r="A24" s="1"/>
      <c r="G24">
        <v>2012</v>
      </c>
      <c r="H24" s="2">
        <f>'2021 Inventory emissions'!L25</f>
        <v>80446.278485825009</v>
      </c>
      <c r="I24" s="2"/>
      <c r="J24" s="2"/>
      <c r="K24" s="16"/>
      <c r="L24">
        <v>2012</v>
      </c>
      <c r="M24" s="2">
        <f>'2021 Inventory emissions'!B25</f>
        <v>36137.910803780425</v>
      </c>
      <c r="N24" s="11"/>
      <c r="O24" s="16"/>
      <c r="P24">
        <v>2012</v>
      </c>
      <c r="Q24" s="2">
        <f>'2021 Inventory emissions'!D25</f>
        <v>35077.772196171354</v>
      </c>
      <c r="R24" s="11"/>
      <c r="S24" s="16"/>
      <c r="U24">
        <v>2012</v>
      </c>
      <c r="V24" s="2">
        <f>'2021 Inventory emissions'!F25</f>
        <v>7931.6707451236298</v>
      </c>
      <c r="W24" s="16"/>
      <c r="Y24">
        <v>2012</v>
      </c>
      <c r="Z24" s="2">
        <f>'2021 Inventory emissions'!H25</f>
        <v>1230.5579771768046</v>
      </c>
      <c r="AA24" s="2"/>
      <c r="AC24" s="9">
        <v>2012</v>
      </c>
      <c r="AD24" s="2">
        <f>'2021 Inventory emissions'!I25</f>
        <v>47.461606756948001</v>
      </c>
      <c r="AE24" s="2"/>
      <c r="AF24" s="2"/>
      <c r="AG24" s="9">
        <v>2012</v>
      </c>
      <c r="AH24" s="2">
        <f>'2021 Inventory emissions'!J25</f>
        <v>20.905156815840002</v>
      </c>
      <c r="AI24" s="2"/>
      <c r="AJ24" s="2"/>
      <c r="AK24" s="2">
        <f t="shared" si="0"/>
        <v>1298.9247407495925</v>
      </c>
    </row>
    <row r="25" spans="1:37" x14ac:dyDescent="0.25">
      <c r="G25">
        <v>2013</v>
      </c>
      <c r="H25" s="2">
        <f>'2021 Inventory emissions'!L26</f>
        <v>79827.770832193244</v>
      </c>
      <c r="I25" s="2"/>
      <c r="J25" s="2"/>
      <c r="K25" s="16"/>
      <c r="L25">
        <v>2013</v>
      </c>
      <c r="M25" s="2">
        <f>'2021 Inventory emissions'!B26</f>
        <v>35304.680851276302</v>
      </c>
      <c r="N25" s="11"/>
      <c r="O25" s="16"/>
      <c r="P25">
        <v>2013</v>
      </c>
      <c r="Q25" s="2">
        <f>'2021 Inventory emissions'!D26</f>
        <v>35202.228900101953</v>
      </c>
      <c r="R25" s="11"/>
      <c r="S25" s="16"/>
      <c r="U25">
        <v>2013</v>
      </c>
      <c r="V25" s="2">
        <f>'2021 Inventory emissions'!F26</f>
        <v>7961.9831460934447</v>
      </c>
      <c r="W25" s="16"/>
      <c r="Y25">
        <v>2013</v>
      </c>
      <c r="Z25" s="2">
        <f>'2021 Inventory emissions'!H26</f>
        <v>1292.5618235901898</v>
      </c>
      <c r="AA25" s="2"/>
      <c r="AC25" s="9">
        <v>2013</v>
      </c>
      <c r="AD25" s="2">
        <f>'2021 Inventory emissions'!I26</f>
        <v>48.125254947889999</v>
      </c>
      <c r="AE25" s="2"/>
      <c r="AF25" s="2"/>
      <c r="AG25" s="9">
        <v>2013</v>
      </c>
      <c r="AH25" s="2">
        <f>'2021 Inventory emissions'!J26</f>
        <v>18.190856183459999</v>
      </c>
      <c r="AI25" s="2"/>
      <c r="AJ25" s="2"/>
      <c r="AK25" s="2">
        <f t="shared" si="0"/>
        <v>1358.8779347215398</v>
      </c>
    </row>
    <row r="26" spans="1:37" x14ac:dyDescent="0.25">
      <c r="G26">
        <v>2014</v>
      </c>
      <c r="H26" s="2">
        <f>'2021 Inventory emissions'!L27</f>
        <v>80673.99760833125</v>
      </c>
      <c r="I26" s="2"/>
      <c r="J26" s="2"/>
      <c r="K26" s="16"/>
      <c r="L26">
        <v>2014</v>
      </c>
      <c r="M26" s="2">
        <f>'2021 Inventory emissions'!B27</f>
        <v>35531.368758940604</v>
      </c>
      <c r="N26" s="11"/>
      <c r="O26" s="16"/>
      <c r="P26">
        <v>2014</v>
      </c>
      <c r="Q26" s="2">
        <f>'2021 Inventory emissions'!D27</f>
        <v>35507.988706528602</v>
      </c>
      <c r="R26" s="11"/>
      <c r="S26" s="16"/>
      <c r="U26">
        <v>2014</v>
      </c>
      <c r="V26" s="2">
        <f>'2021 Inventory emissions'!F27</f>
        <v>8228.5728372442318</v>
      </c>
      <c r="W26" s="16"/>
      <c r="Y26">
        <v>2014</v>
      </c>
      <c r="Z26" s="2">
        <f>'2021 Inventory emissions'!H27</f>
        <v>1315.8508340064104</v>
      </c>
      <c r="AA26" s="2"/>
      <c r="AC26" s="9">
        <v>2014</v>
      </c>
      <c r="AD26" s="2">
        <f>'2021 Inventory emissions'!I27</f>
        <v>73.409788143055394</v>
      </c>
      <c r="AE26" s="2"/>
      <c r="AF26" s="2"/>
      <c r="AG26" s="9">
        <v>2014</v>
      </c>
      <c r="AH26" s="2">
        <f>'2021 Inventory emissions'!J27</f>
        <v>16.806683468351999</v>
      </c>
      <c r="AI26" s="2"/>
      <c r="AJ26" s="2"/>
      <c r="AK26" s="2">
        <f t="shared" si="0"/>
        <v>1406.067305617818</v>
      </c>
    </row>
    <row r="27" spans="1:37" x14ac:dyDescent="0.25">
      <c r="G27">
        <v>2015</v>
      </c>
      <c r="H27" s="2">
        <f>'2021 Inventory emissions'!L28</f>
        <v>80724.435872125614</v>
      </c>
      <c r="I27" s="2"/>
      <c r="J27" s="2"/>
      <c r="K27" s="16"/>
      <c r="L27">
        <v>2015</v>
      </c>
      <c r="M27" s="2">
        <f>'2021 Inventory emissions'!B28</f>
        <v>36071.296522403682</v>
      </c>
      <c r="N27" s="11"/>
      <c r="O27" s="16"/>
      <c r="P27">
        <v>2015</v>
      </c>
      <c r="Q27" s="2">
        <f>'2021 Inventory emissions'!D28</f>
        <v>34993.686607642339</v>
      </c>
      <c r="R27" s="11"/>
      <c r="S27" s="16"/>
      <c r="U27">
        <v>2015</v>
      </c>
      <c r="V27" s="2">
        <f>'2021 Inventory emissions'!F28</f>
        <v>8146.080846631271</v>
      </c>
      <c r="W27" s="16"/>
      <c r="Y27">
        <v>2015</v>
      </c>
      <c r="Z27" s="2">
        <f>'2021 Inventory emissions'!H28</f>
        <v>1438.3162248880417</v>
      </c>
      <c r="AA27" s="2"/>
      <c r="AC27" s="9">
        <v>2015</v>
      </c>
      <c r="AD27" s="2">
        <f>'2021 Inventory emissions'!I28</f>
        <v>58.585213292659702</v>
      </c>
      <c r="AE27" s="2"/>
      <c r="AF27" s="2"/>
      <c r="AG27" s="9">
        <v>2015</v>
      </c>
      <c r="AH27" s="2">
        <f>'2021 Inventory emissions'!J28</f>
        <v>16.470457267619999</v>
      </c>
      <c r="AI27" s="2"/>
      <c r="AJ27" s="2"/>
      <c r="AK27" s="2">
        <f t="shared" si="0"/>
        <v>1513.3718954483215</v>
      </c>
    </row>
    <row r="28" spans="1:37" x14ac:dyDescent="0.25">
      <c r="G28">
        <v>2016</v>
      </c>
      <c r="H28" s="2">
        <f>'2021 Inventory emissions'!L29</f>
        <v>78678.361778524326</v>
      </c>
      <c r="I28" s="2"/>
      <c r="J28" s="2"/>
      <c r="K28" s="16"/>
      <c r="L28">
        <v>2016</v>
      </c>
      <c r="M28" s="2">
        <f>'2021 Inventory emissions'!B29</f>
        <v>34304.68318446078</v>
      </c>
      <c r="N28" s="11"/>
      <c r="O28" s="16"/>
      <c r="P28">
        <v>2016</v>
      </c>
      <c r="Q28" s="2">
        <f>'2021 Inventory emissions'!D29</f>
        <v>34561.763562148903</v>
      </c>
      <c r="S28" s="16"/>
      <c r="U28">
        <v>2016</v>
      </c>
      <c r="V28" s="2">
        <f>'2021 Inventory emissions'!F29</f>
        <v>8172.0171236532933</v>
      </c>
      <c r="W28" s="16"/>
      <c r="Y28">
        <v>2016</v>
      </c>
      <c r="Z28" s="2">
        <f>'2021 Inventory emissions'!H29</f>
        <v>1573.8376405916074</v>
      </c>
      <c r="AA28" s="2"/>
      <c r="AC28" s="9">
        <v>2016</v>
      </c>
      <c r="AD28" s="2">
        <f>'2021 Inventory emissions'!I29</f>
        <v>48.691416228473997</v>
      </c>
      <c r="AE28" s="2"/>
      <c r="AF28" s="2"/>
      <c r="AG28" s="9">
        <v>2016</v>
      </c>
      <c r="AH28" s="2">
        <f>'2021 Inventory emissions'!J29</f>
        <v>17.368851441263999</v>
      </c>
      <c r="AI28" s="2"/>
      <c r="AJ28" s="2"/>
      <c r="AK28" s="2">
        <f t="shared" si="0"/>
        <v>1639.8979082613455</v>
      </c>
    </row>
    <row r="29" spans="1:37" x14ac:dyDescent="0.25">
      <c r="E29" s="2"/>
      <c r="G29">
        <v>2017</v>
      </c>
      <c r="H29" s="2">
        <f>'2021 Inventory emissions'!L30</f>
        <v>80281.999281868179</v>
      </c>
      <c r="I29" s="2"/>
      <c r="J29" s="2"/>
      <c r="K29" s="16"/>
      <c r="L29">
        <v>2017</v>
      </c>
      <c r="M29" s="2">
        <f>'2021 Inventory emissions'!B30</f>
        <v>35854.823046947873</v>
      </c>
      <c r="N29" s="11"/>
      <c r="O29" s="16"/>
      <c r="P29">
        <v>2017</v>
      </c>
      <c r="Q29" s="2">
        <f>'2021 Inventory emissions'!D30</f>
        <v>34480.88307945487</v>
      </c>
      <c r="S29" s="16"/>
      <c r="U29">
        <v>2017</v>
      </c>
      <c r="V29" s="2">
        <f>'2021 Inventory emissions'!F30</f>
        <v>8197.6851911344329</v>
      </c>
      <c r="W29" s="16"/>
      <c r="Y29">
        <v>2017</v>
      </c>
      <c r="Z29" s="2">
        <f>'2021 Inventory emissions'!H30</f>
        <v>1673.3546250138286</v>
      </c>
      <c r="AA29" s="2"/>
      <c r="AC29" s="9">
        <v>2017</v>
      </c>
      <c r="AD29" s="2">
        <f>'2021 Inventory emissions'!I30</f>
        <v>60.457723450000003</v>
      </c>
      <c r="AE29" s="2"/>
      <c r="AF29" s="2"/>
      <c r="AG29" s="9">
        <v>2017</v>
      </c>
      <c r="AH29" s="2">
        <f>'2021 Inventory emissions'!J30</f>
        <v>14.795615867172</v>
      </c>
      <c r="AI29" s="2"/>
      <c r="AJ29" s="2"/>
      <c r="AK29" s="2">
        <f t="shared" si="0"/>
        <v>1748.6079643310006</v>
      </c>
    </row>
    <row r="30" spans="1:37" x14ac:dyDescent="0.25">
      <c r="A30" s="1"/>
      <c r="G30">
        <v>2018</v>
      </c>
      <c r="H30" s="2">
        <f>'2021 Inventory emissions'!L31</f>
        <v>80578.308825720393</v>
      </c>
      <c r="I30" s="2"/>
      <c r="J30" s="2"/>
      <c r="K30" s="16"/>
      <c r="L30">
        <v>2018</v>
      </c>
      <c r="M30" s="2">
        <f>'2021 Inventory emissions'!B31</f>
        <v>35789.215456684709</v>
      </c>
      <c r="N30" s="11"/>
      <c r="O30" s="16"/>
      <c r="P30">
        <v>2018</v>
      </c>
      <c r="Q30" s="2">
        <f>'2021 Inventory emissions'!D31</f>
        <v>34535.594592258516</v>
      </c>
      <c r="S30" s="16"/>
      <c r="U30">
        <v>2018</v>
      </c>
      <c r="V30" s="2">
        <f>'2021 Inventory emissions'!F31</f>
        <v>8325.7487629349034</v>
      </c>
      <c r="W30" s="16"/>
      <c r="Y30">
        <v>2018</v>
      </c>
      <c r="Z30" s="2">
        <f>'2021 Inventory emissions'!H31</f>
        <v>1840.6391928115565</v>
      </c>
      <c r="AA30" s="2"/>
      <c r="AC30" s="9">
        <v>2018</v>
      </c>
      <c r="AD30" s="2">
        <f>'2021 Inventory emissions'!I31</f>
        <v>72.396164892824004</v>
      </c>
      <c r="AE30" s="2"/>
      <c r="AF30" s="2"/>
      <c r="AG30" s="9">
        <v>2018</v>
      </c>
      <c r="AH30" s="2">
        <f>'2021 Inventory emissions'!J31</f>
        <v>14.714656137876</v>
      </c>
      <c r="AI30" s="2"/>
      <c r="AJ30" s="2"/>
      <c r="AK30" s="2">
        <f t="shared" si="0"/>
        <v>1927.7500138422567</v>
      </c>
    </row>
    <row r="31" spans="1:37" x14ac:dyDescent="0.25">
      <c r="G31">
        <v>2019</v>
      </c>
      <c r="H31" s="2">
        <f>'2021 Inventory emissions'!L32</f>
        <v>82317.875709625354</v>
      </c>
      <c r="L31" s="11">
        <v>2019</v>
      </c>
      <c r="M31" s="2">
        <f>'2021 Inventory emissions'!B32</f>
        <v>37494.501955530977</v>
      </c>
      <c r="P31" s="11">
        <v>2019</v>
      </c>
      <c r="Q31" s="2">
        <f>'2021 Inventory emissions'!D32</f>
        <v>34621.292083498724</v>
      </c>
      <c r="U31" s="11">
        <v>2019</v>
      </c>
      <c r="V31" s="2">
        <f>'2021 Inventory emissions'!F32</f>
        <v>8363.1778452818344</v>
      </c>
      <c r="Y31" s="11">
        <v>2019</v>
      </c>
      <c r="Z31" s="2">
        <f>'2021 Inventory emissions'!H32</f>
        <v>1734.0639951288383</v>
      </c>
      <c r="AC31" s="11">
        <v>2019</v>
      </c>
      <c r="AD31" s="2">
        <f>'2021 Inventory emissions'!I32</f>
        <v>89.131613896000005</v>
      </c>
      <c r="AE31" s="2"/>
      <c r="AF31" s="2"/>
      <c r="AG31" s="11">
        <v>2019</v>
      </c>
      <c r="AH31" s="2">
        <f>'2021 Inventory emissions'!J32</f>
        <v>15.708216288984001</v>
      </c>
      <c r="AI31" s="2"/>
      <c r="AJ31" s="2"/>
      <c r="AK31" s="2">
        <f t="shared" si="0"/>
        <v>1838.9038253138224</v>
      </c>
    </row>
    <row r="32" spans="1:37" x14ac:dyDescent="0.25">
      <c r="L32" s="2"/>
      <c r="M32" s="2"/>
      <c r="N32" s="2"/>
      <c r="O32" s="2"/>
      <c r="P32" s="2"/>
      <c r="Q32" s="2"/>
      <c r="R32" s="2"/>
      <c r="S32" s="7"/>
      <c r="T32" s="7"/>
      <c r="U32" s="2"/>
    </row>
    <row r="33" spans="5:22" x14ac:dyDescent="0.25">
      <c r="Q33" s="2"/>
      <c r="V33" s="2"/>
    </row>
    <row r="34" spans="5:22" x14ac:dyDescent="0.25">
      <c r="K34" s="2"/>
      <c r="M34" s="2"/>
    </row>
    <row r="38" spans="5:22" x14ac:dyDescent="0.25">
      <c r="J38" s="4"/>
      <c r="K38" s="4"/>
      <c r="L38" s="4"/>
      <c r="M38" s="4"/>
      <c r="N38" s="4"/>
      <c r="O38" s="4"/>
      <c r="P38" s="4"/>
      <c r="Q38" s="4"/>
      <c r="R38" s="4"/>
      <c r="S38" s="4"/>
      <c r="T38" s="4"/>
    </row>
    <row r="39" spans="5:22" x14ac:dyDescent="0.25">
      <c r="J39" s="4"/>
      <c r="K39" s="4"/>
      <c r="L39" s="4"/>
      <c r="M39" s="4"/>
      <c r="N39" s="4"/>
      <c r="O39" s="4"/>
      <c r="P39" s="4"/>
      <c r="Q39" s="4"/>
      <c r="R39" s="4"/>
      <c r="S39" s="4"/>
      <c r="T39" s="4"/>
    </row>
    <row r="46" spans="5:22" x14ac:dyDescent="0.25">
      <c r="E46" s="2"/>
      <c r="F46" s="2"/>
      <c r="G46" s="2"/>
      <c r="H46" s="2"/>
    </row>
    <row r="49" spans="6:6" x14ac:dyDescent="0.25">
      <c r="F49" s="5"/>
    </row>
  </sheetData>
  <pageMargins left="0.7" right="0.7" top="0.75" bottom="0.75" header="0.3" footer="0.3"/>
  <pageSetup paperSize="9" orientation="portrait" r:id="rId1"/>
  <headerFooter>
    <oddHeader>&amp;C&amp;"Calibri"&amp;10&amp;K000000[UNCLASSIFIED]&amp;1#</oddHeader>
    <oddFooter>&amp;C&amp;1#&amp;"Calibri"&amp;10&amp;K000000[UNCLASSIFIED]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D3D9C-B7B4-458F-9820-D5C4FDB7EEBD}">
  <sheetPr>
    <tabColor theme="6"/>
  </sheetPr>
  <dimension ref="A1:AK49"/>
  <sheetViews>
    <sheetView tabSelected="1" workbookViewId="0">
      <selection activeCell="F14" sqref="F14"/>
    </sheetView>
  </sheetViews>
  <sheetFormatPr defaultColWidth="9.140625" defaultRowHeight="15" x14ac:dyDescent="0.25"/>
  <cols>
    <col min="1" max="3" width="9.140625" style="11"/>
    <col min="4" max="4" width="14.7109375" style="11" customWidth="1"/>
    <col min="5" max="9" width="9.140625" style="11"/>
    <col min="10" max="10" width="12" style="11" customWidth="1"/>
    <col min="11" max="26" width="9.140625" style="11"/>
    <col min="27" max="27" width="9.42578125" style="11" bestFit="1" customWidth="1"/>
    <col min="28" max="16384" width="9.140625" style="11"/>
  </cols>
  <sheetData>
    <row r="1" spans="2:37" x14ac:dyDescent="0.25">
      <c r="G1" s="11" t="s">
        <v>3</v>
      </c>
      <c r="H1" s="11" t="s">
        <v>6</v>
      </c>
      <c r="J1" s="11" t="s">
        <v>23</v>
      </c>
      <c r="L1" s="11" t="s">
        <v>3</v>
      </c>
      <c r="M1" s="11" t="s">
        <v>5</v>
      </c>
      <c r="P1" s="11" t="s">
        <v>3</v>
      </c>
      <c r="Q1" s="11" t="s">
        <v>4</v>
      </c>
      <c r="U1" s="11" t="s">
        <v>3</v>
      </c>
      <c r="V1" s="11" t="s">
        <v>7</v>
      </c>
      <c r="Y1" s="11" t="s">
        <v>8</v>
      </c>
      <c r="Z1" s="11" t="s">
        <v>29</v>
      </c>
      <c r="AC1" s="11" t="s">
        <v>8</v>
      </c>
      <c r="AD1" s="11" t="s">
        <v>30</v>
      </c>
      <c r="AG1" s="11" t="s">
        <v>8</v>
      </c>
      <c r="AH1" s="11" t="s">
        <v>31</v>
      </c>
    </row>
    <row r="2" spans="2:37" x14ac:dyDescent="0.25">
      <c r="G2" s="11">
        <v>1990</v>
      </c>
      <c r="H2" s="2">
        <f>SUM(M2,Q2,V2,Z2,AD2,AH2)</f>
        <v>68336.06599015031</v>
      </c>
      <c r="I2" s="2"/>
      <c r="J2" s="2"/>
      <c r="K2" s="2"/>
      <c r="L2" s="11">
        <v>1990</v>
      </c>
      <c r="M2" s="2">
        <f>'2021 Inventory emissions'!B3</f>
        <v>25649.309105770299</v>
      </c>
      <c r="O2" s="16"/>
      <c r="P2" s="11">
        <v>1990</v>
      </c>
      <c r="Q2" s="2">
        <f>'2021 Inventory emissions'!D3*$D$23</f>
        <v>36730.718614485901</v>
      </c>
      <c r="S2" s="16"/>
      <c r="U2" s="11">
        <v>1990</v>
      </c>
      <c r="V2" s="2">
        <f>'2021 Inventory emissions'!F3*$D$24</f>
        <v>5117.4441538941137</v>
      </c>
      <c r="W2" s="16"/>
      <c r="Y2" s="11">
        <v>1990</v>
      </c>
      <c r="Z2" s="2">
        <v>0</v>
      </c>
      <c r="AA2" s="2"/>
      <c r="AC2" s="11">
        <v>1990</v>
      </c>
      <c r="AD2" s="2">
        <v>818.00811599999997</v>
      </c>
      <c r="AE2" s="2"/>
      <c r="AF2" s="2"/>
      <c r="AG2" s="11">
        <v>1990</v>
      </c>
      <c r="AH2" s="2">
        <f>'2021 Inventory emissions'!J3*$D$25</f>
        <v>20.585999999999999</v>
      </c>
      <c r="AI2" s="2"/>
      <c r="AJ2" s="2"/>
      <c r="AK2" s="2"/>
    </row>
    <row r="3" spans="2:37" x14ac:dyDescent="0.25">
      <c r="G3" s="11">
        <v>1991</v>
      </c>
      <c r="H3" s="2">
        <f t="shared" ref="H3:H31" si="0">SUM(M3,Q3,V3,Z3,AD3,AH3)</f>
        <v>69220.813730288763</v>
      </c>
      <c r="I3" s="2"/>
      <c r="K3" s="16"/>
      <c r="L3" s="11">
        <v>1991</v>
      </c>
      <c r="M3" s="2">
        <f>'2021 Inventory emissions'!B4</f>
        <v>26332.7697403198</v>
      </c>
      <c r="O3" s="16"/>
      <c r="P3" s="11">
        <v>1991</v>
      </c>
      <c r="Q3" s="2">
        <f>'2021 Inventory emissions'!D4*$D$23</f>
        <v>36875.898018075168</v>
      </c>
      <c r="S3" s="16"/>
      <c r="U3" s="11">
        <v>1991</v>
      </c>
      <c r="V3" s="2">
        <f>'2021 Inventory emissions'!F4*$D$24</f>
        <v>5178.1768478938084</v>
      </c>
      <c r="W3" s="16"/>
      <c r="Y3" s="11">
        <v>1991</v>
      </c>
      <c r="Z3" s="2">
        <v>0</v>
      </c>
      <c r="AA3" s="2"/>
      <c r="AC3" s="11">
        <v>1991</v>
      </c>
      <c r="AD3" s="2">
        <v>812.46662399999991</v>
      </c>
      <c r="AE3" s="2"/>
      <c r="AF3" s="2"/>
      <c r="AG3" s="11">
        <v>1991</v>
      </c>
      <c r="AH3" s="2">
        <f>'2021 Inventory emissions'!J4*$D$25</f>
        <v>21.502500000000001</v>
      </c>
      <c r="AI3" s="2"/>
      <c r="AJ3" s="2"/>
      <c r="AK3" s="2"/>
    </row>
    <row r="4" spans="2:37" x14ac:dyDescent="0.25">
      <c r="G4" s="11">
        <v>1992</v>
      </c>
      <c r="H4" s="2">
        <f t="shared" si="0"/>
        <v>70365.169978658232</v>
      </c>
      <c r="I4" s="2"/>
      <c r="K4" s="16"/>
      <c r="L4" s="11">
        <v>1992</v>
      </c>
      <c r="M4" s="2">
        <f>'2021 Inventory emissions'!B5</f>
        <v>28274.938118667567</v>
      </c>
      <c r="O4" s="16"/>
      <c r="P4" s="11">
        <v>1992</v>
      </c>
      <c r="Q4" s="2">
        <f>'2021 Inventory emissions'!D5*$D$23</f>
        <v>36450.038443441495</v>
      </c>
      <c r="S4" s="16"/>
      <c r="U4" s="11">
        <v>1992</v>
      </c>
      <c r="V4" s="2">
        <f>'2021 Inventory emissions'!F5*$D$24</f>
        <v>5202.0027915491637</v>
      </c>
      <c r="W4" s="16"/>
      <c r="Y4" s="11">
        <v>1992</v>
      </c>
      <c r="Z4" s="2">
        <v>0.26</v>
      </c>
      <c r="AA4" s="2"/>
      <c r="AC4" s="11">
        <v>1992</v>
      </c>
      <c r="AD4" s="2">
        <v>415.35300000000001</v>
      </c>
      <c r="AE4" s="2"/>
      <c r="AF4" s="2"/>
      <c r="AG4" s="11">
        <v>1992</v>
      </c>
      <c r="AH4" s="2">
        <f>'2021 Inventory emissions'!J5*$D$25</f>
        <v>22.577625000000001</v>
      </c>
      <c r="AI4" s="2"/>
      <c r="AJ4" s="2"/>
      <c r="AK4" s="2"/>
    </row>
    <row r="5" spans="2:37" x14ac:dyDescent="0.25">
      <c r="G5" s="11">
        <v>1993</v>
      </c>
      <c r="H5" s="2">
        <f t="shared" si="0"/>
        <v>70150.216473089851</v>
      </c>
      <c r="I5" s="2"/>
      <c r="K5" s="16"/>
      <c r="L5" s="11">
        <v>1993</v>
      </c>
      <c r="M5" s="2">
        <f>'2021 Inventory emissions'!B6</f>
        <v>27862.725380849628</v>
      </c>
      <c r="O5" s="16"/>
      <c r="P5" s="11">
        <v>1993</v>
      </c>
      <c r="Q5" s="2">
        <f>'2021 Inventory emissions'!D6*$D$23</f>
        <v>36676.054168705385</v>
      </c>
      <c r="S5" s="16"/>
      <c r="U5" s="11">
        <v>1993</v>
      </c>
      <c r="V5" s="2">
        <f>'2021 Inventory emissions'!F6*$D$24</f>
        <v>5398.734667284858</v>
      </c>
      <c r="W5" s="16"/>
      <c r="Y5" s="11">
        <v>1993</v>
      </c>
      <c r="Z5" s="2">
        <v>0.32500000000000001</v>
      </c>
      <c r="AA5" s="2"/>
      <c r="AC5" s="11">
        <v>1993</v>
      </c>
      <c r="AD5" s="2">
        <v>188.988</v>
      </c>
      <c r="AE5" s="2"/>
      <c r="AF5" s="2"/>
      <c r="AG5" s="11">
        <v>1993</v>
      </c>
      <c r="AH5" s="2">
        <f>'2021 Inventory emissions'!J6*$D$25</f>
        <v>23.389256250000003</v>
      </c>
      <c r="AI5" s="2"/>
      <c r="AJ5" s="2"/>
      <c r="AK5" s="2"/>
    </row>
    <row r="6" spans="2:37" x14ac:dyDescent="0.25">
      <c r="G6" s="11">
        <v>1994</v>
      </c>
      <c r="H6" s="2">
        <f t="shared" si="0"/>
        <v>71450.340040817478</v>
      </c>
      <c r="I6" s="2"/>
      <c r="K6" s="16"/>
      <c r="L6" s="11">
        <v>1994</v>
      </c>
      <c r="M6" s="2">
        <f>'2021 Inventory emissions'!B7</f>
        <v>28027.523937585909</v>
      </c>
      <c r="O6" s="16"/>
      <c r="P6" s="11">
        <v>1994</v>
      </c>
      <c r="Q6" s="2">
        <f>'2021 Inventory emissions'!D7*$D$23</f>
        <v>37623.075030046552</v>
      </c>
      <c r="S6" s="16"/>
      <c r="U6" s="11">
        <v>1994</v>
      </c>
      <c r="V6" s="2">
        <f>'2021 Inventory emissions'!F7*$D$24</f>
        <v>5600.843818160728</v>
      </c>
      <c r="W6" s="16"/>
      <c r="Y6" s="11">
        <v>1994</v>
      </c>
      <c r="Z6" s="2">
        <v>7.3234359617989995</v>
      </c>
      <c r="AA6" s="2"/>
      <c r="AC6" s="11">
        <v>1994</v>
      </c>
      <c r="AD6" s="2">
        <v>167.42400000000004</v>
      </c>
      <c r="AE6" s="2"/>
      <c r="AF6" s="2"/>
      <c r="AG6" s="11">
        <v>1994</v>
      </c>
      <c r="AH6" s="2">
        <f>'2021 Inventory emissions'!J7*$D$25</f>
        <v>24.149819062500001</v>
      </c>
      <c r="AI6" s="2"/>
      <c r="AJ6" s="2"/>
      <c r="AK6" s="2"/>
    </row>
    <row r="7" spans="2:37" x14ac:dyDescent="0.25">
      <c r="G7" s="11">
        <v>1995</v>
      </c>
      <c r="H7" s="2">
        <f t="shared" si="0"/>
        <v>72257.660877143149</v>
      </c>
      <c r="I7" s="2"/>
      <c r="K7" s="16"/>
      <c r="L7" s="11">
        <v>1995</v>
      </c>
      <c r="M7" s="2">
        <f>'2021 Inventory emissions'!B8</f>
        <v>28148.848183332018</v>
      </c>
      <c r="O7" s="16"/>
      <c r="P7" s="11">
        <v>1995</v>
      </c>
      <c r="Q7" s="2">
        <f>'2021 Inventory emissions'!D8*$D$23</f>
        <v>38111.458433476233</v>
      </c>
      <c r="S7" s="16"/>
      <c r="U7" s="11">
        <v>1995</v>
      </c>
      <c r="V7" s="2">
        <f>'2021 Inventory emissions'!F8*$D$24</f>
        <v>5810.4161587238259</v>
      </c>
      <c r="W7" s="16"/>
      <c r="Y7" s="11">
        <v>1995</v>
      </c>
      <c r="Z7" s="2">
        <v>23.168316595448101</v>
      </c>
      <c r="AA7" s="2"/>
      <c r="AC7" s="11">
        <v>1995</v>
      </c>
      <c r="AD7" s="2">
        <v>138.60400000000001</v>
      </c>
      <c r="AE7" s="2"/>
      <c r="AF7" s="2"/>
      <c r="AG7" s="11">
        <v>1995</v>
      </c>
      <c r="AH7" s="2">
        <f>'2021 Inventory emissions'!J8*$D$25</f>
        <v>25.165785015625001</v>
      </c>
      <c r="AI7" s="2"/>
      <c r="AJ7" s="2"/>
      <c r="AK7" s="2"/>
    </row>
    <row r="8" spans="2:37" x14ac:dyDescent="0.25">
      <c r="G8" s="11">
        <v>1996</v>
      </c>
      <c r="H8" s="2">
        <f t="shared" si="0"/>
        <v>74368.828721822516</v>
      </c>
      <c r="I8" s="2"/>
      <c r="K8" s="16"/>
      <c r="L8" s="11">
        <v>1996</v>
      </c>
      <c r="M8" s="2">
        <f>'2021 Inventory emissions'!B9</f>
        <v>29377.311418245212</v>
      </c>
      <c r="O8" s="16"/>
      <c r="P8" s="11">
        <v>1996</v>
      </c>
      <c r="Q8" s="2">
        <f>'2021 Inventory emissions'!D9*$D$23</f>
        <v>38773.112707528635</v>
      </c>
      <c r="S8" s="16"/>
      <c r="U8" s="11">
        <v>1996</v>
      </c>
      <c r="V8" s="2">
        <f>'2021 Inventory emissions'!F9*$D$24</f>
        <v>5878.6262026928489</v>
      </c>
      <c r="W8" s="16"/>
      <c r="Y8" s="11">
        <v>1996</v>
      </c>
      <c r="Z8" s="2">
        <v>58.891219089359545</v>
      </c>
      <c r="AA8" s="2"/>
      <c r="AC8" s="11">
        <v>1996</v>
      </c>
      <c r="AD8" s="2">
        <v>255.48300000000003</v>
      </c>
      <c r="AE8" s="2"/>
      <c r="AF8" s="2"/>
      <c r="AG8" s="11">
        <v>1996</v>
      </c>
      <c r="AH8" s="2">
        <f>'2021 Inventory emissions'!J9*$D$25</f>
        <v>25.404174266464999</v>
      </c>
      <c r="AI8" s="2"/>
      <c r="AJ8" s="2"/>
      <c r="AK8" s="2"/>
    </row>
    <row r="9" spans="2:37" x14ac:dyDescent="0.25">
      <c r="G9" s="11">
        <v>1997</v>
      </c>
      <c r="H9" s="2">
        <f t="shared" si="0"/>
        <v>77140.226645270362</v>
      </c>
      <c r="I9" s="2"/>
      <c r="K9" s="16"/>
      <c r="L9" s="11">
        <v>1997</v>
      </c>
      <c r="M9" s="2">
        <f>'2021 Inventory emissions'!B10</f>
        <v>31326.235691342339</v>
      </c>
      <c r="O9" s="16"/>
      <c r="P9" s="11">
        <v>1997</v>
      </c>
      <c r="Q9" s="2">
        <f>'2021 Inventory emissions'!D10*$D$23</f>
        <v>39559.502965537067</v>
      </c>
      <c r="S9" s="16"/>
      <c r="U9" s="11">
        <v>1997</v>
      </c>
      <c r="V9" s="2">
        <f>'2021 Inventory emissions'!F10*$D$24</f>
        <v>5958.395839404011</v>
      </c>
      <c r="W9" s="16"/>
      <c r="Y9" s="11">
        <v>1997</v>
      </c>
      <c r="Z9" s="2">
        <v>88.60149100715158</v>
      </c>
      <c r="AA9" s="2"/>
      <c r="AC9" s="11">
        <v>1997</v>
      </c>
      <c r="AD9" s="2">
        <v>181.12060000000002</v>
      </c>
      <c r="AE9" s="2"/>
      <c r="AF9" s="2"/>
      <c r="AG9" s="11">
        <v>1997</v>
      </c>
      <c r="AH9" s="2">
        <f>'2021 Inventory emissions'!J10*$D$25</f>
        <v>26.370057979800002</v>
      </c>
      <c r="AI9" s="2"/>
      <c r="AJ9" s="2"/>
      <c r="AK9" s="2"/>
    </row>
    <row r="10" spans="2:37" x14ac:dyDescent="0.25">
      <c r="G10" s="11">
        <v>1998</v>
      </c>
      <c r="H10" s="2">
        <f t="shared" si="0"/>
        <v>74986.618754071678</v>
      </c>
      <c r="I10" s="2"/>
      <c r="K10" s="16"/>
      <c r="L10" s="11">
        <v>1998</v>
      </c>
      <c r="M10" s="2">
        <f>'2021 Inventory emissions'!B11</f>
        <v>29930.577750031774</v>
      </c>
      <c r="O10" s="16"/>
      <c r="P10" s="11">
        <v>1998</v>
      </c>
      <c r="Q10" s="2">
        <f>'2021 Inventory emissions'!D11*$D$23</f>
        <v>38872.710063812643</v>
      </c>
      <c r="S10" s="16"/>
      <c r="U10" s="11">
        <v>1998</v>
      </c>
      <c r="V10" s="2">
        <f>'2021 Inventory emissions'!F11*$D$24</f>
        <v>5898.3426386570409</v>
      </c>
      <c r="W10" s="16"/>
      <c r="Y10" s="11">
        <v>1998</v>
      </c>
      <c r="Z10" s="2">
        <v>115.55844069144031</v>
      </c>
      <c r="AA10" s="2"/>
      <c r="AC10" s="11">
        <v>1998</v>
      </c>
      <c r="AD10" s="2">
        <v>143.80930000000001</v>
      </c>
      <c r="AE10" s="2"/>
      <c r="AF10" s="2"/>
      <c r="AG10" s="11">
        <v>1998</v>
      </c>
      <c r="AH10" s="2">
        <f>'2021 Inventory emissions'!J11*$D$25</f>
        <v>25.620560878789998</v>
      </c>
      <c r="AI10" s="2"/>
      <c r="AJ10" s="2"/>
      <c r="AK10" s="2"/>
    </row>
    <row r="11" spans="2:37" x14ac:dyDescent="0.25">
      <c r="G11" s="11">
        <v>1999</v>
      </c>
      <c r="H11" s="2">
        <f t="shared" si="0"/>
        <v>76800.621520737637</v>
      </c>
      <c r="I11" s="2"/>
      <c r="K11" s="16"/>
      <c r="L11" s="11">
        <v>1999</v>
      </c>
      <c r="M11" s="2">
        <f>'2021 Inventory emissions'!B12</f>
        <v>31537.743677365612</v>
      </c>
      <c r="O11" s="16"/>
      <c r="P11" s="11">
        <v>1999</v>
      </c>
      <c r="Q11" s="2">
        <f>'2021 Inventory emissions'!D12*$D$23</f>
        <v>39080.790836257482</v>
      </c>
      <c r="S11" s="16"/>
      <c r="U11" s="11">
        <v>1999</v>
      </c>
      <c r="V11" s="2">
        <f>'2021 Inventory emissions'!F12*$D$24</f>
        <v>5925.9141991164579</v>
      </c>
      <c r="W11" s="16"/>
      <c r="Y11" s="11">
        <v>1999</v>
      </c>
      <c r="Z11" s="2">
        <v>169.10374407553215</v>
      </c>
      <c r="AA11" s="2"/>
      <c r="AC11" s="11">
        <v>1999</v>
      </c>
      <c r="AD11" s="2">
        <v>61.7502</v>
      </c>
      <c r="AE11" s="2"/>
      <c r="AF11" s="2"/>
      <c r="AG11" s="11">
        <v>1999</v>
      </c>
      <c r="AH11" s="2">
        <f>'2021 Inventory emissions'!J12*$D$25</f>
        <v>25.318863922564997</v>
      </c>
      <c r="AI11" s="2"/>
      <c r="AJ11" s="2"/>
      <c r="AK11" s="2"/>
    </row>
    <row r="12" spans="2:37" x14ac:dyDescent="0.25">
      <c r="G12" s="11">
        <v>2000</v>
      </c>
      <c r="H12" s="2">
        <f t="shared" si="0"/>
        <v>78899.173433446005</v>
      </c>
      <c r="I12" s="2"/>
      <c r="K12" s="16"/>
      <c r="L12" s="11">
        <v>2000</v>
      </c>
      <c r="M12" s="2">
        <f>'2021 Inventory emissions'!B13</f>
        <v>32339.418733235547</v>
      </c>
      <c r="O12" s="16"/>
      <c r="P12" s="11">
        <v>2000</v>
      </c>
      <c r="Q12" s="2">
        <f>'2021 Inventory emissions'!D13*$D$23</f>
        <v>40064.186466274034</v>
      </c>
      <c r="S12" s="16"/>
      <c r="U12" s="11">
        <v>2000</v>
      </c>
      <c r="V12" s="2">
        <f>'2021 Inventory emissions'!F13*$D$24</f>
        <v>6194.4163049811168</v>
      </c>
      <c r="W12" s="16"/>
      <c r="Y12" s="11">
        <v>2000</v>
      </c>
      <c r="Z12" s="2">
        <v>220.18822009544999</v>
      </c>
      <c r="AA12" s="2"/>
      <c r="AC12" s="11">
        <v>2000</v>
      </c>
      <c r="AD12" s="2">
        <v>60.798900000000003</v>
      </c>
      <c r="AE12" s="2"/>
      <c r="AF12" s="2"/>
      <c r="AG12" s="11">
        <v>2000</v>
      </c>
      <c r="AH12" s="2">
        <f>'2021 Inventory emissions'!J13*$D$25</f>
        <v>20.164808859859999</v>
      </c>
      <c r="AI12" s="2"/>
      <c r="AJ12" s="2"/>
      <c r="AK12" s="2"/>
    </row>
    <row r="13" spans="2:37" x14ac:dyDescent="0.25">
      <c r="G13" s="11">
        <v>2001</v>
      </c>
      <c r="H13" s="2">
        <f t="shared" si="0"/>
        <v>81890.687115100824</v>
      </c>
      <c r="I13" s="2"/>
      <c r="K13" s="16"/>
      <c r="L13" s="11">
        <v>2001</v>
      </c>
      <c r="M13" s="2">
        <f>'2021 Inventory emissions'!B14</f>
        <v>34490.004549852994</v>
      </c>
      <c r="O13" s="16"/>
      <c r="P13" s="11">
        <v>2001</v>
      </c>
      <c r="Q13" s="2">
        <f>'2021 Inventory emissions'!D14*$D$23</f>
        <v>40514.760137331141</v>
      </c>
      <c r="S13" s="16"/>
      <c r="U13" s="11">
        <v>2001</v>
      </c>
      <c r="V13" s="2">
        <f>'2021 Inventory emissions'!F14*$D$24</f>
        <v>6519.8133171997733</v>
      </c>
      <c r="W13" s="16"/>
      <c r="Y13" s="11">
        <v>2001</v>
      </c>
      <c r="Z13" s="2">
        <v>281.96011463177979</v>
      </c>
      <c r="AA13" s="2"/>
      <c r="AC13" s="11">
        <v>2001</v>
      </c>
      <c r="AD13" s="2">
        <v>63.497099999999996</v>
      </c>
      <c r="AE13" s="2"/>
      <c r="AF13" s="2"/>
      <c r="AG13" s="11">
        <v>2001</v>
      </c>
      <c r="AH13" s="2">
        <f>'2021 Inventory emissions'!J14*$D$25</f>
        <v>20.651896085154998</v>
      </c>
      <c r="AI13" s="2"/>
      <c r="AJ13" s="2"/>
      <c r="AK13" s="2"/>
    </row>
    <row r="14" spans="2:37" x14ac:dyDescent="0.25">
      <c r="G14" s="11">
        <v>2002</v>
      </c>
      <c r="H14" s="2">
        <f t="shared" si="0"/>
        <v>82026.689125369448</v>
      </c>
      <c r="I14" s="2"/>
      <c r="K14" s="16"/>
      <c r="L14" s="11">
        <v>2002</v>
      </c>
      <c r="M14" s="2">
        <f>'2021 Inventory emissions'!B15</f>
        <v>34659.518598182054</v>
      </c>
      <c r="O14" s="16"/>
      <c r="P14" s="11">
        <v>2002</v>
      </c>
      <c r="Q14" s="2">
        <f>'2021 Inventory emissions'!D15*$D$23</f>
        <v>40277.135675390811</v>
      </c>
      <c r="S14" s="16"/>
      <c r="U14" s="11">
        <v>2002</v>
      </c>
      <c r="V14" s="2">
        <f>'2021 Inventory emissions'!F15*$D$24</f>
        <v>6609.9532485029285</v>
      </c>
      <c r="W14" s="16"/>
      <c r="Y14" s="11">
        <v>2002</v>
      </c>
      <c r="Z14" s="2">
        <v>379.02364334448833</v>
      </c>
      <c r="AA14" s="2"/>
      <c r="AC14" s="11">
        <v>2002</v>
      </c>
      <c r="AD14" s="2">
        <v>77.024699999999996</v>
      </c>
      <c r="AE14" s="2"/>
      <c r="AF14" s="2"/>
      <c r="AG14" s="11">
        <v>2002</v>
      </c>
      <c r="AH14" s="2">
        <f>'2021 Inventory emissions'!J15*$D$25</f>
        <v>24.033259949154999</v>
      </c>
      <c r="AI14" s="2"/>
      <c r="AJ14" s="2"/>
      <c r="AK14" s="2"/>
    </row>
    <row r="15" spans="2:37" x14ac:dyDescent="0.25">
      <c r="B15" s="11" t="s">
        <v>16</v>
      </c>
      <c r="G15" s="11">
        <v>2003</v>
      </c>
      <c r="H15" s="2">
        <f t="shared" si="0"/>
        <v>84175.911773781059</v>
      </c>
      <c r="I15" s="2"/>
      <c r="K15" s="16"/>
      <c r="L15" s="11">
        <v>2003</v>
      </c>
      <c r="M15" s="2">
        <f>'2021 Inventory emissions'!B16</f>
        <v>36300.949726775027</v>
      </c>
      <c r="O15" s="16"/>
      <c r="P15" s="11">
        <v>2003</v>
      </c>
      <c r="Q15" s="2">
        <f>'2021 Inventory emissions'!D16*$D$23</f>
        <v>40410.164818937788</v>
      </c>
      <c r="S15" s="16"/>
      <c r="U15" s="11">
        <v>2003</v>
      </c>
      <c r="V15" s="2">
        <f>'2021 Inventory emissions'!F16*$D$24</f>
        <v>6844.0588557234933</v>
      </c>
      <c r="W15" s="16"/>
      <c r="Y15" s="11">
        <v>2003</v>
      </c>
      <c r="Z15" s="2">
        <v>479.0107177575095</v>
      </c>
      <c r="AA15" s="2"/>
      <c r="AC15" s="11">
        <v>2003</v>
      </c>
      <c r="AD15" s="2">
        <v>115.767</v>
      </c>
      <c r="AE15" s="2"/>
      <c r="AF15" s="2"/>
      <c r="AG15" s="11">
        <v>2003</v>
      </c>
      <c r="AH15" s="2">
        <f>'2021 Inventory emissions'!J16*$D$25</f>
        <v>25.960654587240001</v>
      </c>
      <c r="AI15" s="2"/>
      <c r="AJ15" s="2"/>
      <c r="AK15" s="2"/>
    </row>
    <row r="16" spans="2:37" x14ac:dyDescent="0.25">
      <c r="B16" s="11" t="s">
        <v>12</v>
      </c>
      <c r="C16" s="11" t="s">
        <v>11</v>
      </c>
      <c r="D16" s="11" t="s">
        <v>14</v>
      </c>
      <c r="E16" s="11" t="s">
        <v>15</v>
      </c>
      <c r="G16" s="11">
        <v>2004</v>
      </c>
      <c r="H16" s="2">
        <f t="shared" si="0"/>
        <v>83972.206049550194</v>
      </c>
      <c r="I16" s="2"/>
      <c r="K16" s="16"/>
      <c r="L16" s="11">
        <v>2004</v>
      </c>
      <c r="M16" s="2">
        <f>'2021 Inventory emissions'!B17</f>
        <v>35953.304478224054</v>
      </c>
      <c r="O16" s="16"/>
      <c r="P16" s="11">
        <v>2004</v>
      </c>
      <c r="Q16" s="2">
        <f>'2021 Inventory emissions'!D17*$D$23</f>
        <v>40382.055982084064</v>
      </c>
      <c r="S16" s="16"/>
      <c r="U16" s="11">
        <v>2004</v>
      </c>
      <c r="V16" s="2">
        <f>'2021 Inventory emissions'!F17*$D$24</f>
        <v>6962.4439653800582</v>
      </c>
      <c r="W16" s="16"/>
      <c r="Y16" s="11">
        <v>2004</v>
      </c>
      <c r="Z16" s="2">
        <v>554.53051836542807</v>
      </c>
      <c r="AA16" s="2"/>
      <c r="AC16" s="11">
        <v>2004</v>
      </c>
      <c r="AD16" s="2">
        <v>90.067499999999995</v>
      </c>
      <c r="AE16" s="2"/>
      <c r="AF16" s="2"/>
      <c r="AG16" s="11">
        <v>2004</v>
      </c>
      <c r="AH16" s="2">
        <f>'2021 Inventory emissions'!J17*$D$25</f>
        <v>29.803605496595001</v>
      </c>
      <c r="AI16" s="2"/>
      <c r="AJ16" s="2"/>
      <c r="AK16" s="2"/>
    </row>
    <row r="17" spans="1:37" x14ac:dyDescent="0.25">
      <c r="A17" s="11" t="s">
        <v>0</v>
      </c>
      <c r="B17" s="11">
        <v>1</v>
      </c>
      <c r="C17" s="11">
        <v>1</v>
      </c>
      <c r="D17" s="11">
        <v>1</v>
      </c>
      <c r="E17" s="11">
        <v>1</v>
      </c>
      <c r="G17" s="11">
        <v>2005</v>
      </c>
      <c r="H17" s="2">
        <f t="shared" si="0"/>
        <v>85922.347532924017</v>
      </c>
      <c r="I17" s="2"/>
      <c r="K17" s="7"/>
      <c r="L17" s="11">
        <v>2005</v>
      </c>
      <c r="M17" s="2">
        <f>'2021 Inventory emissions'!B18</f>
        <v>37553.453956005826</v>
      </c>
      <c r="O17" s="16"/>
      <c r="P17" s="11">
        <v>2005</v>
      </c>
      <c r="Q17" s="2">
        <f>'2021 Inventory emissions'!D18*$D$23</f>
        <v>40593.945001536558</v>
      </c>
      <c r="S17" s="16"/>
      <c r="U17" s="11">
        <v>2005</v>
      </c>
      <c r="V17" s="2">
        <f>'2021 Inventory emissions'!F18*$D$24</f>
        <v>7024.5632354564859</v>
      </c>
      <c r="W17" s="16"/>
      <c r="Y17" s="11">
        <v>2005</v>
      </c>
      <c r="Z17" s="2">
        <v>661.79996557362108</v>
      </c>
      <c r="AA17" s="2"/>
      <c r="AC17" s="11">
        <v>2005</v>
      </c>
      <c r="AD17" s="2">
        <v>62.391600000000004</v>
      </c>
      <c r="AE17" s="2"/>
      <c r="AF17" s="2"/>
      <c r="AG17" s="11">
        <v>2005</v>
      </c>
      <c r="AH17" s="2">
        <f>'2021 Inventory emissions'!J18*$D$25</f>
        <v>26.193774351535001</v>
      </c>
      <c r="AI17" s="2"/>
      <c r="AJ17" s="2"/>
      <c r="AK17" s="2"/>
    </row>
    <row r="18" spans="1:37" x14ac:dyDescent="0.25">
      <c r="A18" s="11" t="s">
        <v>1</v>
      </c>
      <c r="B18" s="11">
        <v>21</v>
      </c>
      <c r="C18" s="11">
        <v>25</v>
      </c>
      <c r="D18" s="11">
        <v>28</v>
      </c>
      <c r="E18" s="11">
        <v>34</v>
      </c>
      <c r="G18" s="11">
        <v>2006</v>
      </c>
      <c r="H18" s="2">
        <f t="shared" si="0"/>
        <v>85984.459176724791</v>
      </c>
      <c r="I18" s="2"/>
      <c r="K18" s="16"/>
      <c r="L18" s="11">
        <v>2006</v>
      </c>
      <c r="M18" s="2">
        <f>'2021 Inventory emissions'!B19</f>
        <v>37543.424751924576</v>
      </c>
      <c r="O18" s="16"/>
      <c r="P18" s="11">
        <v>2006</v>
      </c>
      <c r="Q18" s="2">
        <f>'2021 Inventory emissions'!D19*$D$23</f>
        <v>40716.812708986778</v>
      </c>
      <c r="S18" s="16"/>
      <c r="U18" s="11">
        <v>2006</v>
      </c>
      <c r="V18" s="2">
        <f>'2021 Inventory emissions'!F19*$D$24</f>
        <v>6842.1868376904122</v>
      </c>
      <c r="W18" s="16"/>
      <c r="Y18" s="11">
        <v>2006</v>
      </c>
      <c r="Z18" s="2">
        <v>763.25536191547508</v>
      </c>
      <c r="AA18" s="2"/>
      <c r="AC18" s="11">
        <v>2006</v>
      </c>
      <c r="AD18" s="2">
        <v>97.087499999999991</v>
      </c>
      <c r="AE18" s="2"/>
      <c r="AF18" s="2"/>
      <c r="AG18" s="11">
        <v>2006</v>
      </c>
      <c r="AH18" s="2">
        <f>'2021 Inventory emissions'!J19*$D$25</f>
        <v>21.692016207545002</v>
      </c>
      <c r="AI18" s="2"/>
      <c r="AJ18" s="2"/>
      <c r="AK18" s="2"/>
    </row>
    <row r="19" spans="1:37" x14ac:dyDescent="0.25">
      <c r="A19" s="11" t="s">
        <v>13</v>
      </c>
      <c r="B19" s="11">
        <v>310</v>
      </c>
      <c r="C19" s="11">
        <v>298</v>
      </c>
      <c r="D19" s="11">
        <v>265</v>
      </c>
      <c r="E19" s="11">
        <v>298</v>
      </c>
      <c r="G19" s="11">
        <v>2007</v>
      </c>
      <c r="H19" s="2">
        <f t="shared" si="0"/>
        <v>83896.467699420973</v>
      </c>
      <c r="I19" s="2"/>
      <c r="K19" s="16"/>
      <c r="L19" s="11">
        <v>2007</v>
      </c>
      <c r="M19" s="2">
        <f>'2021 Inventory emissions'!B20</f>
        <v>36657.302672291167</v>
      </c>
      <c r="O19" s="16"/>
      <c r="P19" s="11">
        <v>2007</v>
      </c>
      <c r="Q19" s="2">
        <f>'2021 Inventory emissions'!D20*$D$23</f>
        <v>39633.852065295752</v>
      </c>
      <c r="S19" s="16"/>
      <c r="U19" s="11">
        <v>2007</v>
      </c>
      <c r="V19" s="2">
        <f>'2021 Inventory emissions'!F20*$D$24</f>
        <v>6671.9434489878422</v>
      </c>
      <c r="W19" s="16"/>
      <c r="Y19" s="11">
        <v>2007</v>
      </c>
      <c r="Z19" s="2">
        <v>869.19990248790907</v>
      </c>
      <c r="AA19" s="2"/>
      <c r="AC19" s="11">
        <v>2007</v>
      </c>
      <c r="AD19" s="2">
        <v>43.684800000000003</v>
      </c>
      <c r="AE19" s="2"/>
      <c r="AF19" s="2"/>
      <c r="AG19" s="11">
        <v>2007</v>
      </c>
      <c r="AH19" s="2">
        <f>'2021 Inventory emissions'!J20*$D$25</f>
        <v>20.484810358299999</v>
      </c>
      <c r="AI19" s="2"/>
      <c r="AJ19" s="2"/>
      <c r="AK19" s="2"/>
    </row>
    <row r="20" spans="1:37" x14ac:dyDescent="0.25">
      <c r="A20" s="11" t="s">
        <v>75</v>
      </c>
      <c r="B20" s="11">
        <v>23900</v>
      </c>
      <c r="C20" s="11">
        <v>22800</v>
      </c>
      <c r="D20" s="11">
        <v>23500</v>
      </c>
      <c r="G20" s="11">
        <v>2008</v>
      </c>
      <c r="H20" s="2">
        <f t="shared" si="0"/>
        <v>83846.930721096651</v>
      </c>
      <c r="I20" s="2"/>
      <c r="J20" s="2"/>
      <c r="K20" s="16"/>
      <c r="L20" s="11">
        <v>2008</v>
      </c>
      <c r="M20" s="2">
        <f>'2021 Inventory emissions'!B21</f>
        <v>37713.283344176642</v>
      </c>
      <c r="O20" s="16"/>
      <c r="P20" s="11">
        <v>2008</v>
      </c>
      <c r="Q20" s="2">
        <f>'2021 Inventory emissions'!D21*$D$23</f>
        <v>38432.803063190855</v>
      </c>
      <c r="S20" s="16"/>
      <c r="U20" s="11">
        <v>2008</v>
      </c>
      <c r="V20" s="2">
        <f>'2021 Inventory emissions'!F21*$D$24</f>
        <v>6670.7648610402948</v>
      </c>
      <c r="W20" s="16"/>
      <c r="Y20" s="11">
        <v>2008</v>
      </c>
      <c r="Z20" s="2">
        <v>968.93162164420914</v>
      </c>
      <c r="AA20" s="2"/>
      <c r="AC20" s="11">
        <v>2008</v>
      </c>
      <c r="AD20" s="2">
        <v>41.212800000000001</v>
      </c>
      <c r="AE20" s="2"/>
      <c r="AF20" s="2"/>
      <c r="AG20" s="11">
        <v>2008</v>
      </c>
      <c r="AH20" s="2">
        <f>'2021 Inventory emissions'!J21*$D$25</f>
        <v>19.935031044664999</v>
      </c>
      <c r="AI20" s="2"/>
      <c r="AJ20" s="2"/>
      <c r="AK20" s="2"/>
    </row>
    <row r="21" spans="1:37" x14ac:dyDescent="0.25">
      <c r="G21" s="11">
        <v>2009</v>
      </c>
      <c r="H21" s="2">
        <f t="shared" si="0"/>
        <v>81137.799004759043</v>
      </c>
      <c r="I21" s="2"/>
      <c r="J21" s="2"/>
      <c r="K21" s="16"/>
      <c r="L21" s="11">
        <v>2009</v>
      </c>
      <c r="M21" s="2">
        <f>'2021 Inventory emissions'!B22</f>
        <v>34882.460053019895</v>
      </c>
      <c r="O21" s="16"/>
      <c r="P21" s="11">
        <v>2009</v>
      </c>
      <c r="Q21" s="2">
        <f>'2021 Inventory emissions'!D22*$D$23</f>
        <v>38558.677081850787</v>
      </c>
      <c r="S21" s="16"/>
      <c r="U21" s="11">
        <v>2009</v>
      </c>
      <c r="V21" s="2">
        <f>'2021 Inventory emissions'!F22*$D$24</f>
        <v>6670.9249095143095</v>
      </c>
      <c r="W21" s="16"/>
      <c r="Y21" s="11">
        <v>2009</v>
      </c>
      <c r="Z21" s="2">
        <v>953.89517412869623</v>
      </c>
      <c r="AA21" s="2"/>
      <c r="AC21" s="11">
        <v>2009</v>
      </c>
      <c r="AD21" s="2">
        <v>48.613799999999998</v>
      </c>
      <c r="AE21" s="2"/>
      <c r="AF21" s="2"/>
      <c r="AG21" s="11">
        <v>2009</v>
      </c>
      <c r="AH21" s="2">
        <f>'2021 Inventory emissions'!J22*$D$25</f>
        <v>23.227986245335</v>
      </c>
      <c r="AI21" s="2"/>
      <c r="AJ21" s="2"/>
      <c r="AK21" s="2"/>
    </row>
    <row r="22" spans="1:37" x14ac:dyDescent="0.25">
      <c r="D22" s="11" t="s">
        <v>104</v>
      </c>
      <c r="E22" s="2"/>
      <c r="G22" s="11">
        <v>2010</v>
      </c>
      <c r="H22" s="2">
        <f t="shared" si="0"/>
        <v>81566.253987228396</v>
      </c>
      <c r="I22" s="2"/>
      <c r="J22" s="2"/>
      <c r="K22" s="16"/>
      <c r="L22" s="11">
        <v>2010</v>
      </c>
      <c r="M22" s="2">
        <f>'2021 Inventory emissions'!B23</f>
        <v>35031.266478375284</v>
      </c>
      <c r="O22" s="16"/>
      <c r="P22" s="11">
        <v>2010</v>
      </c>
      <c r="Q22" s="2">
        <f>'2021 Inventory emissions'!D23*$D$23</f>
        <v>38660.791019569442</v>
      </c>
      <c r="S22" s="16"/>
      <c r="U22" s="11">
        <v>2010</v>
      </c>
      <c r="V22" s="2">
        <f>'2021 Inventory emissions'!F23*$D$24</f>
        <v>6796.51522422175</v>
      </c>
      <c r="W22" s="16"/>
      <c r="Y22" s="11">
        <v>2010</v>
      </c>
      <c r="Z22" s="2">
        <v>1011.3688473196361</v>
      </c>
      <c r="AA22" s="2"/>
      <c r="AC22" s="11">
        <v>2010</v>
      </c>
      <c r="AD22" s="2">
        <v>42.773759999999996</v>
      </c>
      <c r="AE22" s="2"/>
      <c r="AF22" s="2"/>
      <c r="AG22" s="11">
        <v>2010</v>
      </c>
      <c r="AH22" s="2">
        <f>'2021 Inventory emissions'!J23*$D$25</f>
        <v>23.538657742285</v>
      </c>
      <c r="AI22" s="2"/>
      <c r="AJ22" s="2"/>
      <c r="AK22" s="2"/>
    </row>
    <row r="23" spans="1:37" x14ac:dyDescent="0.25">
      <c r="A23" s="11" t="s">
        <v>1</v>
      </c>
      <c r="D23" s="11">
        <f>D18/C18</f>
        <v>1.1200000000000001</v>
      </c>
      <c r="G23" s="11">
        <v>2011</v>
      </c>
      <c r="H23" s="2">
        <f t="shared" si="0"/>
        <v>81379.951747065948</v>
      </c>
      <c r="I23" s="2"/>
      <c r="J23" s="2"/>
      <c r="K23" s="16"/>
      <c r="L23" s="11">
        <v>2011</v>
      </c>
      <c r="M23" s="2">
        <f>'2021 Inventory emissions'!B24</f>
        <v>34497.004314652047</v>
      </c>
      <c r="O23" s="16"/>
      <c r="P23" s="11">
        <v>2011</v>
      </c>
      <c r="Q23" s="2">
        <f>'2021 Inventory emissions'!D24*$D$23</f>
        <v>38743.55706416785</v>
      </c>
      <c r="S23" s="16"/>
      <c r="U23" s="11">
        <v>2011</v>
      </c>
      <c r="V23" s="2">
        <f>'2021 Inventory emissions'!F24*$D$24</f>
        <v>6956.7874289447036</v>
      </c>
      <c r="W23" s="16"/>
      <c r="Y23" s="11">
        <v>2011</v>
      </c>
      <c r="Z23" s="2">
        <v>1131.4706046452895</v>
      </c>
      <c r="AA23" s="2"/>
      <c r="AC23" s="11">
        <v>2011</v>
      </c>
      <c r="AD23" s="2">
        <v>31.611070266579997</v>
      </c>
      <c r="AE23" s="2"/>
      <c r="AF23" s="2"/>
      <c r="AG23" s="11">
        <v>2011</v>
      </c>
      <c r="AH23" s="2">
        <f>'2021 Inventory emissions'!J24*$D$25</f>
        <v>19.521264389480002</v>
      </c>
      <c r="AI23" s="2"/>
      <c r="AJ23" s="2"/>
      <c r="AK23" s="2"/>
    </row>
    <row r="24" spans="1:37" x14ac:dyDescent="0.25">
      <c r="A24" s="11" t="s">
        <v>2</v>
      </c>
      <c r="D24" s="11">
        <f>D19/C19</f>
        <v>0.88926174496644295</v>
      </c>
      <c r="G24" s="11">
        <v>2012</v>
      </c>
      <c r="H24" s="2">
        <f t="shared" si="0"/>
        <v>83719.642008682</v>
      </c>
      <c r="I24" s="2"/>
      <c r="J24" s="2"/>
      <c r="K24" s="16"/>
      <c r="L24" s="11">
        <v>2012</v>
      </c>
      <c r="M24" s="2">
        <f>'2021 Inventory emissions'!B25</f>
        <v>36137.910803780425</v>
      </c>
      <c r="O24" s="16"/>
      <c r="P24" s="11">
        <v>2012</v>
      </c>
      <c r="Q24" s="2">
        <f>'2021 Inventory emissions'!D25*$D$23</f>
        <v>39287.104859711922</v>
      </c>
      <c r="S24" s="16"/>
      <c r="U24" s="11">
        <v>2012</v>
      </c>
      <c r="V24" s="2">
        <f>'2021 Inventory emissions'!F25*$D$24</f>
        <v>7053.3313673079256</v>
      </c>
      <c r="W24" s="16"/>
      <c r="Y24" s="11">
        <v>2012</v>
      </c>
      <c r="Z24" s="2">
        <v>1177.0670400068418</v>
      </c>
      <c r="AA24" s="2"/>
      <c r="AC24" s="11">
        <v>2012</v>
      </c>
      <c r="AD24" s="2">
        <v>42.680956069071996</v>
      </c>
      <c r="AE24" s="2"/>
      <c r="AF24" s="2"/>
      <c r="AG24" s="11">
        <v>2012</v>
      </c>
      <c r="AH24" s="2">
        <f>'2021 Inventory emissions'!J25*$D$25</f>
        <v>21.546981805800002</v>
      </c>
      <c r="AI24" s="2"/>
      <c r="AJ24" s="2"/>
      <c r="AK24" s="2"/>
    </row>
    <row r="25" spans="1:37" x14ac:dyDescent="0.25">
      <c r="A25" s="11" t="s">
        <v>75</v>
      </c>
      <c r="D25" s="11">
        <f>D20/C20</f>
        <v>1.0307017543859649</v>
      </c>
      <c r="G25" s="11">
        <v>2013</v>
      </c>
      <c r="H25" s="2">
        <f t="shared" si="0"/>
        <v>83112.521150622968</v>
      </c>
      <c r="I25" s="2"/>
      <c r="J25" s="2"/>
      <c r="K25" s="16"/>
      <c r="L25" s="11">
        <v>2013</v>
      </c>
      <c r="M25" s="2">
        <f>'2021 Inventory emissions'!B26</f>
        <v>35304.680851276302</v>
      </c>
      <c r="O25" s="16"/>
      <c r="P25" s="11">
        <v>2013</v>
      </c>
      <c r="Q25" s="2">
        <f>'2021 Inventory emissions'!D26*$D$23</f>
        <v>39426.496368114189</v>
      </c>
      <c r="S25" s="16"/>
      <c r="U25" s="11">
        <v>2013</v>
      </c>
      <c r="V25" s="2">
        <f>'2021 Inventory emissions'!F26*$D$24</f>
        <v>7080.2870258884659</v>
      </c>
      <c r="W25" s="16"/>
      <c r="Y25" s="11">
        <v>2013</v>
      </c>
      <c r="Z25" s="2">
        <v>1239.0297537799827</v>
      </c>
      <c r="AA25" s="2"/>
      <c r="AC25" s="11">
        <v>2013</v>
      </c>
      <c r="AD25" s="2">
        <v>43.277804181960001</v>
      </c>
      <c r="AE25" s="2"/>
      <c r="AF25" s="2"/>
      <c r="AG25" s="11">
        <v>2013</v>
      </c>
      <c r="AH25" s="2">
        <f>'2021 Inventory emissions'!J26*$D$25</f>
        <v>18.749347382074998</v>
      </c>
      <c r="AI25" s="2"/>
      <c r="AJ25" s="2"/>
      <c r="AK25" s="2"/>
    </row>
    <row r="26" spans="1:37" x14ac:dyDescent="0.25">
      <c r="G26" s="11">
        <v>2014</v>
      </c>
      <c r="H26" s="2">
        <f t="shared" si="0"/>
        <v>83961.679792026494</v>
      </c>
      <c r="I26" s="2"/>
      <c r="J26" s="2"/>
      <c r="K26" s="16"/>
      <c r="L26" s="11">
        <v>2014</v>
      </c>
      <c r="M26" s="2">
        <f>'2021 Inventory emissions'!B27</f>
        <v>35531.368758940604</v>
      </c>
      <c r="O26" s="16"/>
      <c r="P26" s="11">
        <v>2014</v>
      </c>
      <c r="Q26" s="2">
        <f>'2021 Inventory emissions'!D27*$D$23</f>
        <v>39768.947351312039</v>
      </c>
      <c r="S26" s="16"/>
      <c r="U26" s="11">
        <v>2014</v>
      </c>
      <c r="V26" s="2">
        <f>'2021 Inventory emissions'!F27*$D$24</f>
        <v>7317.35503983128</v>
      </c>
      <c r="W26" s="16"/>
      <c r="Y26" s="11">
        <v>2014</v>
      </c>
      <c r="Z26" s="2">
        <v>1260.6705446635967</v>
      </c>
      <c r="AA26" s="2"/>
      <c r="AC26" s="11">
        <v>2014</v>
      </c>
      <c r="AD26" s="2">
        <v>66.015419142740996</v>
      </c>
      <c r="AE26" s="2"/>
      <c r="AF26" s="2"/>
      <c r="AG26" s="11">
        <v>2014</v>
      </c>
      <c r="AH26" s="2">
        <f>'2021 Inventory emissions'!J27*$D$25</f>
        <v>17.322678136239997</v>
      </c>
      <c r="AI26" s="2"/>
      <c r="AJ26" s="2"/>
      <c r="AK26" s="2"/>
    </row>
    <row r="27" spans="1:37" x14ac:dyDescent="0.25">
      <c r="G27" s="11">
        <v>2015</v>
      </c>
      <c r="H27" s="2">
        <f t="shared" si="0"/>
        <v>83952.057498111957</v>
      </c>
      <c r="I27" s="2"/>
      <c r="J27" s="2"/>
      <c r="K27" s="16"/>
      <c r="L27" s="11">
        <v>2015</v>
      </c>
      <c r="M27" s="2">
        <f>'2021 Inventory emissions'!B28</f>
        <v>36071.296522403682</v>
      </c>
      <c r="O27" s="16"/>
      <c r="P27" s="11">
        <v>2015</v>
      </c>
      <c r="Q27" s="2">
        <f>'2021 Inventory emissions'!D28*$D$23</f>
        <v>39192.929000559423</v>
      </c>
      <c r="S27" s="16"/>
      <c r="U27" s="11">
        <v>2015</v>
      </c>
      <c r="V27" s="2">
        <f>'2021 Inventory emissions'!F28*$D$24</f>
        <v>7243.9980683130434</v>
      </c>
      <c r="W27" s="16"/>
      <c r="Y27" s="11">
        <v>2015</v>
      </c>
      <c r="Z27" s="2">
        <v>1374.1736298128767</v>
      </c>
      <c r="AA27" s="2"/>
      <c r="AC27" s="11">
        <v>2015</v>
      </c>
      <c r="AD27" s="2">
        <v>52.684147821664098</v>
      </c>
      <c r="AE27" s="2"/>
      <c r="AF27" s="2"/>
      <c r="AG27" s="11">
        <v>2015</v>
      </c>
      <c r="AH27" s="2">
        <f>'2021 Inventory emissions'!J28*$D$25</f>
        <v>16.976129201274997</v>
      </c>
      <c r="AI27" s="2"/>
      <c r="AJ27" s="2"/>
      <c r="AK27" s="2"/>
    </row>
    <row r="28" spans="1:37" x14ac:dyDescent="0.25">
      <c r="G28" s="11">
        <v>2016</v>
      </c>
      <c r="H28" s="2">
        <f t="shared" si="0"/>
        <v>81845.183336152011</v>
      </c>
      <c r="I28" s="2"/>
      <c r="J28" s="2"/>
      <c r="K28" s="16"/>
      <c r="L28" s="11">
        <v>2016</v>
      </c>
      <c r="M28" s="2">
        <f>'2021 Inventory emissions'!B29</f>
        <v>34304.68318446078</v>
      </c>
      <c r="O28" s="16"/>
      <c r="P28" s="11">
        <v>2016</v>
      </c>
      <c r="Q28" s="2">
        <f>'2021 Inventory emissions'!D29*$D$23</f>
        <v>38709.175189606773</v>
      </c>
      <c r="S28" s="16"/>
      <c r="U28" s="11">
        <v>2016</v>
      </c>
      <c r="V28" s="2">
        <f>'2021 Inventory emissions'!F29*$D$24</f>
        <v>7267.0622072755796</v>
      </c>
      <c r="W28" s="16"/>
      <c r="Y28" s="11">
        <v>2016</v>
      </c>
      <c r="Z28" s="2">
        <v>1502.5736524221757</v>
      </c>
      <c r="AA28" s="2"/>
      <c r="AC28" s="11">
        <v>2016</v>
      </c>
      <c r="AD28" s="2">
        <v>43.786996734535997</v>
      </c>
      <c r="AE28" s="2"/>
      <c r="AF28" s="2"/>
      <c r="AG28" s="11">
        <v>2016</v>
      </c>
      <c r="AH28" s="2">
        <f>'2021 Inventory emissions'!J29*$D$25</f>
        <v>17.902105652179998</v>
      </c>
      <c r="AI28" s="2"/>
      <c r="AJ28" s="2"/>
      <c r="AK28" s="2"/>
    </row>
    <row r="29" spans="1:37" x14ac:dyDescent="0.25">
      <c r="E29" s="2"/>
      <c r="G29" s="11">
        <v>2017</v>
      </c>
      <c r="H29" s="2">
        <f t="shared" si="0"/>
        <v>83426.301352246272</v>
      </c>
      <c r="I29" s="2"/>
      <c r="J29" s="2"/>
      <c r="K29" s="16"/>
      <c r="L29" s="11">
        <v>2017</v>
      </c>
      <c r="M29" s="2">
        <f>'2021 Inventory emissions'!B30</f>
        <v>35854.823046947873</v>
      </c>
      <c r="O29" s="16"/>
      <c r="P29" s="11">
        <v>2017</v>
      </c>
      <c r="Q29" s="2">
        <f>'2021 Inventory emissions'!D30*$D$23</f>
        <v>38618.589048989459</v>
      </c>
      <c r="S29" s="16"/>
      <c r="U29" s="11">
        <v>2017</v>
      </c>
      <c r="V29" s="2">
        <f>'2021 Inventory emissions'!F30*$D$24</f>
        <v>7289.887837753774</v>
      </c>
      <c r="W29" s="16"/>
      <c r="Y29" s="11">
        <v>2017</v>
      </c>
      <c r="Z29" s="2">
        <v>1593.383485823658</v>
      </c>
      <c r="AA29" s="2"/>
      <c r="AC29" s="11">
        <v>2017</v>
      </c>
      <c r="AD29" s="2">
        <v>54.3680655</v>
      </c>
      <c r="AE29" s="2"/>
      <c r="AF29" s="2"/>
      <c r="AG29" s="11">
        <v>2017</v>
      </c>
      <c r="AH29" s="2">
        <f>'2021 Inventory emissions'!J30*$D$25</f>
        <v>15.249867231514999</v>
      </c>
      <c r="AI29" s="2"/>
      <c r="AJ29" s="2"/>
      <c r="AK29" s="2"/>
    </row>
    <row r="30" spans="1:37" x14ac:dyDescent="0.25">
      <c r="A30" s="1"/>
      <c r="G30" s="11">
        <v>2018</v>
      </c>
      <c r="H30" s="2">
        <f t="shared" si="0"/>
        <v>83702.993757905686</v>
      </c>
      <c r="I30" s="2"/>
      <c r="J30" s="2"/>
      <c r="K30" s="16"/>
      <c r="L30" s="11">
        <v>2018</v>
      </c>
      <c r="M30" s="2">
        <f>'2021 Inventory emissions'!B31</f>
        <v>35789.215456684709</v>
      </c>
      <c r="O30" s="16"/>
      <c r="P30" s="11">
        <v>2018</v>
      </c>
      <c r="Q30" s="2">
        <f>'2021 Inventory emissions'!D31*$D$23</f>
        <v>38679.86594332954</v>
      </c>
      <c r="S30" s="16"/>
      <c r="U30" s="11">
        <v>2018</v>
      </c>
      <c r="V30" s="2">
        <f>'2021 Inventory emissions'!F31*$D$24</f>
        <v>7403.7698730796956</v>
      </c>
      <c r="W30" s="16"/>
      <c r="Y30" s="11">
        <v>2018</v>
      </c>
      <c r="Z30" s="2">
        <v>1749.8720638073034</v>
      </c>
      <c r="AA30" s="2"/>
      <c r="AC30" s="11">
        <v>2018</v>
      </c>
      <c r="AD30" s="2">
        <v>65.103999107936005</v>
      </c>
      <c r="AE30" s="2"/>
      <c r="AF30" s="2"/>
      <c r="AG30" s="11">
        <v>2018</v>
      </c>
      <c r="AH30" s="2">
        <f>'2021 Inventory emissions'!J31*$D$25</f>
        <v>15.166421896495001</v>
      </c>
      <c r="AI30" s="2"/>
      <c r="AJ30" s="2"/>
      <c r="AK30" s="2"/>
    </row>
    <row r="31" spans="1:37" x14ac:dyDescent="0.25">
      <c r="G31" s="11">
        <v>2019</v>
      </c>
      <c r="H31" s="2">
        <f t="shared" si="0"/>
        <v>85445.51030237833</v>
      </c>
      <c r="L31" s="11">
        <v>2019</v>
      </c>
      <c r="M31" s="2">
        <f>'2021 Inventory emissions'!B32</f>
        <v>37494.501955530977</v>
      </c>
      <c r="P31" s="11">
        <v>2019</v>
      </c>
      <c r="Q31" s="2">
        <f>'2021 Inventory emissions'!D32*$D$23</f>
        <v>38775.847133518575</v>
      </c>
      <c r="U31" s="11">
        <v>2019</v>
      </c>
      <c r="V31" s="2">
        <f>'2021 Inventory emissions'!F32*$D$24</f>
        <v>7437.0541241600204</v>
      </c>
      <c r="Y31" s="11">
        <v>2019</v>
      </c>
      <c r="Z31" s="2">
        <v>1641.7628425374271</v>
      </c>
      <c r="AC31" s="11">
        <v>2019</v>
      </c>
      <c r="AD31" s="2">
        <v>80.153760543999979</v>
      </c>
      <c r="AE31" s="2"/>
      <c r="AF31" s="2"/>
      <c r="AG31" s="11">
        <v>2019</v>
      </c>
      <c r="AH31" s="2">
        <f>'2021 Inventory emissions'!J32*$D$25</f>
        <v>16.190486087330001</v>
      </c>
      <c r="AI31" s="2"/>
      <c r="AJ31" s="2"/>
      <c r="AK31" s="2"/>
    </row>
    <row r="32" spans="1:37" x14ac:dyDescent="0.25">
      <c r="L32" s="2"/>
      <c r="M32" s="2"/>
      <c r="N32" s="2"/>
      <c r="O32" s="2"/>
      <c r="P32" s="2"/>
      <c r="Q32" s="2"/>
      <c r="R32" s="2"/>
      <c r="S32" s="7"/>
      <c r="T32" s="7"/>
      <c r="U32" s="2"/>
    </row>
    <row r="33" spans="5:22" x14ac:dyDescent="0.25">
      <c r="Q33" s="2"/>
      <c r="V33" s="2"/>
    </row>
    <row r="34" spans="5:22" x14ac:dyDescent="0.25">
      <c r="K34" s="2"/>
      <c r="M34" s="2"/>
    </row>
    <row r="38" spans="5:22" x14ac:dyDescent="0.25">
      <c r="J38" s="4"/>
      <c r="K38" s="4"/>
      <c r="L38" s="4"/>
      <c r="M38" s="4"/>
      <c r="N38" s="4"/>
      <c r="O38" s="4"/>
      <c r="P38" s="4"/>
      <c r="Q38" s="4"/>
      <c r="R38" s="4"/>
      <c r="S38" s="4"/>
      <c r="T38" s="4"/>
    </row>
    <row r="39" spans="5:22" x14ac:dyDescent="0.25">
      <c r="J39" s="4"/>
      <c r="K39" s="4"/>
      <c r="L39" s="4"/>
      <c r="M39" s="4"/>
      <c r="N39" s="4"/>
      <c r="O39" s="4"/>
      <c r="P39" s="4"/>
      <c r="Q39" s="4"/>
      <c r="R39" s="4"/>
      <c r="S39" s="4"/>
      <c r="T39" s="4"/>
    </row>
    <row r="46" spans="5:22" x14ac:dyDescent="0.25">
      <c r="E46" s="2"/>
      <c r="F46" s="2"/>
      <c r="G46" s="2"/>
      <c r="H46" s="2"/>
    </row>
    <row r="49" spans="6:6" x14ac:dyDescent="0.25">
      <c r="F49" s="5"/>
    </row>
  </sheetData>
  <pageMargins left="0.7" right="0.7" top="0.75" bottom="0.75" header="0.3" footer="0.3"/>
  <pageSetup paperSize="9" orientation="portrait" r:id="rId1"/>
  <headerFooter>
    <oddHeader>&amp;C&amp;"Calibri"&amp;10&amp;K000000[UNCLASSIFIED]&amp;1#</oddHeader>
    <oddFooter>&amp;C&amp;1#&amp;"Calibri"&amp;10&amp;K000000[UNCLASSIFIED]</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F2587-B013-41F6-AAB5-7AADE18CCE04}">
  <sheetPr>
    <tabColor theme="6"/>
  </sheetPr>
  <dimension ref="A1:CJ31"/>
  <sheetViews>
    <sheetView workbookViewId="0">
      <pane xSplit="2" ySplit="1" topLeftCell="C2" activePane="bottomRight" state="frozen"/>
      <selection pane="topRight" activeCell="C1" sqref="C1"/>
      <selection pane="bottomLeft" activeCell="A2" sqref="A2"/>
      <selection pane="bottomRight" activeCell="BK28" sqref="C21:BK28"/>
    </sheetView>
  </sheetViews>
  <sheetFormatPr defaultColWidth="9.140625" defaultRowHeight="15" x14ac:dyDescent="0.25"/>
  <cols>
    <col min="1" max="1" width="47.5703125" style="11" bestFit="1" customWidth="1"/>
    <col min="2" max="2" width="20.5703125" style="11" bestFit="1" customWidth="1"/>
    <col min="3" max="16384" width="9.140625" style="11"/>
  </cols>
  <sheetData>
    <row r="1" spans="1:88" x14ac:dyDescent="0.25">
      <c r="A1" s="1" t="s">
        <v>74</v>
      </c>
      <c r="C1" s="11">
        <v>1990</v>
      </c>
      <c r="D1" s="11">
        <v>1991</v>
      </c>
      <c r="E1" s="11">
        <v>1992</v>
      </c>
      <c r="F1" s="11">
        <v>1993</v>
      </c>
      <c r="G1" s="11">
        <v>1994</v>
      </c>
      <c r="H1" s="11">
        <v>1995</v>
      </c>
      <c r="I1" s="11">
        <v>1996</v>
      </c>
      <c r="J1" s="11">
        <v>1997</v>
      </c>
      <c r="K1" s="11">
        <v>1998</v>
      </c>
      <c r="L1" s="11">
        <v>1999</v>
      </c>
      <c r="M1" s="11">
        <v>2000</v>
      </c>
      <c r="N1" s="11">
        <v>2001</v>
      </c>
      <c r="O1" s="11">
        <v>2002</v>
      </c>
      <c r="P1" s="11">
        <v>2003</v>
      </c>
      <c r="Q1" s="11">
        <v>2004</v>
      </c>
      <c r="R1" s="11">
        <v>2005</v>
      </c>
      <c r="S1" s="11">
        <v>2006</v>
      </c>
      <c r="T1" s="11">
        <v>2007</v>
      </c>
      <c r="U1" s="11">
        <v>2008</v>
      </c>
      <c r="V1" s="11">
        <v>2009</v>
      </c>
      <c r="W1" s="11">
        <v>2010</v>
      </c>
      <c r="X1" s="11">
        <v>2011</v>
      </c>
      <c r="Y1" s="11">
        <v>2012</v>
      </c>
      <c r="Z1" s="11">
        <v>2013</v>
      </c>
      <c r="AA1" s="11">
        <v>2014</v>
      </c>
      <c r="AB1" s="11">
        <v>2015</v>
      </c>
      <c r="AC1" s="11">
        <v>2016</v>
      </c>
      <c r="AD1" s="11">
        <v>2017</v>
      </c>
      <c r="AE1" s="11">
        <v>2018</v>
      </c>
      <c r="AF1" s="11">
        <v>2019</v>
      </c>
      <c r="AG1" s="11">
        <v>2020</v>
      </c>
      <c r="AH1" s="11">
        <v>2021</v>
      </c>
      <c r="AI1" s="11">
        <v>2022</v>
      </c>
      <c r="AJ1" s="11">
        <v>2023</v>
      </c>
      <c r="AK1" s="11">
        <v>2024</v>
      </c>
      <c r="AL1" s="11">
        <v>2025</v>
      </c>
      <c r="AM1" s="11">
        <v>2026</v>
      </c>
      <c r="AN1" s="11">
        <v>2027</v>
      </c>
      <c r="AO1" s="11">
        <v>2028</v>
      </c>
      <c r="AP1" s="11">
        <v>2029</v>
      </c>
      <c r="AQ1" s="11">
        <v>2030</v>
      </c>
      <c r="AR1" s="11">
        <v>2031</v>
      </c>
      <c r="AS1" s="11">
        <v>2032</v>
      </c>
      <c r="AT1" s="11">
        <v>2033</v>
      </c>
      <c r="AU1" s="11">
        <v>2034</v>
      </c>
      <c r="AV1" s="11">
        <v>2035</v>
      </c>
      <c r="AW1" s="11">
        <v>2036</v>
      </c>
      <c r="AX1" s="11">
        <v>2037</v>
      </c>
      <c r="AY1" s="11">
        <v>2038</v>
      </c>
      <c r="AZ1" s="11">
        <v>2039</v>
      </c>
      <c r="BA1" s="11">
        <v>2040</v>
      </c>
      <c r="BB1" s="11">
        <v>2041</v>
      </c>
      <c r="BC1" s="11">
        <v>2042</v>
      </c>
      <c r="BD1" s="11">
        <v>2043</v>
      </c>
      <c r="BE1" s="11">
        <v>2044</v>
      </c>
      <c r="BF1" s="11">
        <v>2045</v>
      </c>
      <c r="BG1" s="11">
        <v>2046</v>
      </c>
      <c r="BH1" s="11">
        <v>2047</v>
      </c>
      <c r="BI1" s="11">
        <v>2048</v>
      </c>
      <c r="BJ1" s="11">
        <v>2049</v>
      </c>
      <c r="BK1" s="11">
        <v>2050</v>
      </c>
    </row>
    <row r="3" spans="1:88" x14ac:dyDescent="0.25">
      <c r="A3" s="11" t="s">
        <v>184</v>
      </c>
      <c r="B3" s="11" t="s">
        <v>181</v>
      </c>
      <c r="C3" s="66">
        <v>8772.237679509617</v>
      </c>
      <c r="D3" s="66">
        <v>8767.2752630880786</v>
      </c>
      <c r="E3" s="66">
        <v>9144.4364512633001</v>
      </c>
      <c r="F3" s="66">
        <v>9608.6919084949586</v>
      </c>
      <c r="G3" s="66">
        <v>10284.24640548394</v>
      </c>
      <c r="H3" s="66">
        <v>10963.5811868091</v>
      </c>
      <c r="I3" s="66">
        <v>11105.827971935279</v>
      </c>
      <c r="J3" s="66">
        <v>11340.879408676319</v>
      </c>
      <c r="K3" s="66">
        <v>11560.848690715829</v>
      </c>
      <c r="L3" s="66">
        <v>11861.218239795449</v>
      </c>
      <c r="M3" s="66">
        <v>12425.078726604441</v>
      </c>
      <c r="N3" s="66">
        <v>12491.27817453937</v>
      </c>
      <c r="O3" s="66">
        <v>12958.92107536812</v>
      </c>
      <c r="P3" s="66">
        <v>13511.211706173201</v>
      </c>
      <c r="Q3" s="66">
        <v>13819.50856164403</v>
      </c>
      <c r="R3" s="66">
        <v>13901.431354259939</v>
      </c>
      <c r="S3" s="66">
        <v>14032.69533593376</v>
      </c>
      <c r="T3" s="66">
        <v>14147.48861768307</v>
      </c>
      <c r="U3" s="66">
        <v>14180.74981805429</v>
      </c>
      <c r="V3" s="66">
        <v>13995.876029315939</v>
      </c>
      <c r="W3" s="66">
        <v>14290.214748466929</v>
      </c>
      <c r="X3" s="66">
        <v>14292.042449893719</v>
      </c>
      <c r="Y3" s="66">
        <v>14019.361964273339</v>
      </c>
      <c r="Z3" s="66">
        <v>14088.703497843169</v>
      </c>
      <c r="AA3" s="66">
        <v>14356.621057612299</v>
      </c>
      <c r="AB3" s="66">
        <v>14852.62960557593</v>
      </c>
      <c r="AC3" s="66">
        <v>14978.119688518909</v>
      </c>
      <c r="AD3" s="66">
        <v>15883.998644606911</v>
      </c>
      <c r="AE3" s="66">
        <v>16215.892718847561</v>
      </c>
      <c r="AF3" s="66">
        <v>16207.59773663236</v>
      </c>
      <c r="AG3" s="66">
        <v>14504.543271174171</v>
      </c>
      <c r="AH3" s="66">
        <v>15495.051427994669</v>
      </c>
      <c r="AI3" s="66">
        <v>16312.88743173735</v>
      </c>
      <c r="AJ3" s="66">
        <v>16652.439115365869</v>
      </c>
      <c r="AK3" s="66">
        <v>16554.763246425129</v>
      </c>
      <c r="AL3" s="66">
        <v>16410.006811729691</v>
      </c>
      <c r="AM3" s="66">
        <v>16130.699702919361</v>
      </c>
      <c r="AN3" s="66">
        <v>15823.14473345481</v>
      </c>
      <c r="AO3" s="66">
        <v>15359.24066944687</v>
      </c>
      <c r="AP3" s="66">
        <v>14753.571779722541</v>
      </c>
      <c r="AQ3" s="66">
        <v>14029.886986743601</v>
      </c>
      <c r="AR3" s="66">
        <v>13195.57663003103</v>
      </c>
      <c r="AS3" s="66">
        <v>12328.34609541942</v>
      </c>
      <c r="AT3" s="66">
        <v>11369.870469050709</v>
      </c>
      <c r="AU3" s="66">
        <v>10437.731931728351</v>
      </c>
      <c r="AV3" s="66">
        <v>9534.5461560903295</v>
      </c>
      <c r="AW3" s="66">
        <v>8651.6669385159566</v>
      </c>
      <c r="AX3" s="66">
        <v>7847.4299266200896</v>
      </c>
      <c r="AY3" s="66">
        <v>6975.3713056920824</v>
      </c>
      <c r="AZ3" s="66">
        <v>6240.9517813428874</v>
      </c>
      <c r="BA3" s="66">
        <v>5592.1351115975376</v>
      </c>
      <c r="BB3" s="66">
        <v>5032.1816526847206</v>
      </c>
      <c r="BC3" s="66">
        <v>4459.2929702311367</v>
      </c>
      <c r="BD3" s="66">
        <v>3949.5554134852259</v>
      </c>
      <c r="BE3" s="66">
        <v>3443.0825244998982</v>
      </c>
      <c r="BF3" s="66">
        <v>3017.7189778378738</v>
      </c>
      <c r="BG3" s="66">
        <v>2619.3546257242988</v>
      </c>
      <c r="BH3" s="66">
        <v>2272.2405123132112</v>
      </c>
      <c r="BI3" s="66">
        <v>1958.824223696095</v>
      </c>
      <c r="BJ3" s="66">
        <v>1696.7806619054011</v>
      </c>
      <c r="BK3" s="66">
        <v>1461.775892641268</v>
      </c>
      <c r="BL3" s="66"/>
      <c r="BM3" s="66"/>
      <c r="BN3" s="66"/>
      <c r="BO3" s="66"/>
      <c r="BP3" s="66"/>
      <c r="BQ3" s="66"/>
      <c r="BR3" s="66"/>
      <c r="BS3" s="66"/>
      <c r="BT3" s="66"/>
      <c r="BU3" s="66"/>
      <c r="BV3" s="66"/>
      <c r="BW3" s="66"/>
      <c r="BX3" s="66"/>
      <c r="BY3" s="66"/>
      <c r="BZ3" s="66"/>
      <c r="CA3" s="66"/>
      <c r="CB3" s="66"/>
      <c r="CC3" s="66"/>
      <c r="CD3" s="66"/>
      <c r="CE3" s="66"/>
      <c r="CF3" s="66"/>
      <c r="CG3" s="66"/>
      <c r="CH3" s="66"/>
      <c r="CI3" s="66"/>
      <c r="CJ3" s="66"/>
    </row>
    <row r="4" spans="1:88" x14ac:dyDescent="0.25">
      <c r="B4" s="11" t="s">
        <v>180</v>
      </c>
      <c r="C4" s="66">
        <v>14972.28581319526</v>
      </c>
      <c r="D4" s="66">
        <v>15358.83105968143</v>
      </c>
      <c r="E4" s="66">
        <v>16828.009577396409</v>
      </c>
      <c r="F4" s="66">
        <v>15789.29746872414</v>
      </c>
      <c r="G4" s="66">
        <v>15398.598771788</v>
      </c>
      <c r="H4" s="66">
        <v>14705.2067950775</v>
      </c>
      <c r="I4" s="66">
        <v>16043.10418271788</v>
      </c>
      <c r="J4" s="66">
        <v>17718.93491909725</v>
      </c>
      <c r="K4" s="66">
        <v>15971.20490640322</v>
      </c>
      <c r="L4" s="66">
        <v>17115.533735130699</v>
      </c>
      <c r="M4" s="66">
        <v>17354.36062749301</v>
      </c>
      <c r="N4" s="66">
        <v>19299.499745137371</v>
      </c>
      <c r="O4" s="66">
        <v>18852.477888087731</v>
      </c>
      <c r="P4" s="66">
        <v>19716.251860786091</v>
      </c>
      <c r="Q4" s="66">
        <v>19026.297046572781</v>
      </c>
      <c r="R4" s="66">
        <v>20412.54393541687</v>
      </c>
      <c r="S4" s="66">
        <v>20565.127558370579</v>
      </c>
      <c r="T4" s="66">
        <v>19157.885034476851</v>
      </c>
      <c r="U4" s="66">
        <v>20577.994791316061</v>
      </c>
      <c r="V4" s="66">
        <v>18076.653963182089</v>
      </c>
      <c r="W4" s="66">
        <v>17767.289656517849</v>
      </c>
      <c r="X4" s="66">
        <v>17008.13219754996</v>
      </c>
      <c r="Y4" s="66">
        <v>18797.165368663609</v>
      </c>
      <c r="Z4" s="66">
        <v>17937.19799111149</v>
      </c>
      <c r="AA4" s="66">
        <v>17767.466481148851</v>
      </c>
      <c r="AB4" s="66">
        <v>17675.198871578301</v>
      </c>
      <c r="AC4" s="66">
        <v>16062.283064617181</v>
      </c>
      <c r="AD4" s="66">
        <v>16716.488652812401</v>
      </c>
      <c r="AE4" s="66">
        <v>16336.02575134769</v>
      </c>
      <c r="AF4" s="66">
        <v>18055.453356820901</v>
      </c>
      <c r="AG4" s="66">
        <v>18538.236077285401</v>
      </c>
      <c r="AH4" s="66">
        <v>16790.47862155503</v>
      </c>
      <c r="AI4" s="66">
        <v>16190.76975562975</v>
      </c>
      <c r="AJ4" s="66">
        <v>14851.40759580576</v>
      </c>
      <c r="AK4" s="66">
        <v>14104.13135066289</v>
      </c>
      <c r="AL4" s="66">
        <v>12229.51852339867</v>
      </c>
      <c r="AM4" s="66">
        <v>12246.192864376701</v>
      </c>
      <c r="AN4" s="66">
        <v>12215.74010812736</v>
      </c>
      <c r="AO4" s="66">
        <v>11977.03713938385</v>
      </c>
      <c r="AP4" s="66">
        <v>11684.9329497416</v>
      </c>
      <c r="AQ4" s="66">
        <v>10793.71388964075</v>
      </c>
      <c r="AR4" s="66">
        <v>10473.65792514537</v>
      </c>
      <c r="AS4" s="66">
        <v>10162.007097246829</v>
      </c>
      <c r="AT4" s="66">
        <v>9916.2304044629727</v>
      </c>
      <c r="AU4" s="66">
        <v>9632.0070757320427</v>
      </c>
      <c r="AV4" s="66">
        <v>9329.2649056668834</v>
      </c>
      <c r="AW4" s="66">
        <v>9011.4265177352772</v>
      </c>
      <c r="AX4" s="66">
        <v>8694.9096517556682</v>
      </c>
      <c r="AY4" s="66">
        <v>8334.9638135862424</v>
      </c>
      <c r="AZ4" s="66">
        <v>7909.1589027499977</v>
      </c>
      <c r="BA4" s="66">
        <v>7007.6782249775661</v>
      </c>
      <c r="BB4" s="66">
        <v>6690.3691464419007</v>
      </c>
      <c r="BC4" s="66">
        <v>6313.830596965332</v>
      </c>
      <c r="BD4" s="66">
        <v>5989.8807731313973</v>
      </c>
      <c r="BE4" s="66">
        <v>5648.5531725816199</v>
      </c>
      <c r="BF4" s="66">
        <v>5327.1710518688797</v>
      </c>
      <c r="BG4" s="66">
        <v>4933.4783415356151</v>
      </c>
      <c r="BH4" s="66">
        <v>4631.4592253795636</v>
      </c>
      <c r="BI4" s="66">
        <v>4405.1691351295904</v>
      </c>
      <c r="BJ4" s="66">
        <v>4088.7108441696828</v>
      </c>
      <c r="BK4" s="66">
        <v>3734.8936955066461</v>
      </c>
      <c r="BL4" s="66"/>
      <c r="BM4" s="66"/>
      <c r="BN4" s="66"/>
      <c r="BO4" s="66"/>
      <c r="BP4" s="66"/>
      <c r="BQ4" s="66"/>
      <c r="BR4" s="66"/>
      <c r="BS4" s="66"/>
      <c r="BT4" s="66"/>
      <c r="BU4" s="66"/>
      <c r="BV4" s="66"/>
      <c r="BW4" s="66"/>
      <c r="BX4" s="66"/>
      <c r="BY4" s="66"/>
      <c r="BZ4" s="66"/>
      <c r="CA4" s="66"/>
      <c r="CB4" s="66"/>
      <c r="CC4" s="66"/>
      <c r="CD4" s="66"/>
      <c r="CE4" s="66"/>
      <c r="CF4" s="66"/>
      <c r="CG4" s="66"/>
      <c r="CH4" s="66"/>
      <c r="CI4" s="66"/>
      <c r="CJ4" s="66"/>
    </row>
    <row r="5" spans="1:88" x14ac:dyDescent="0.25">
      <c r="B5" s="11" t="s">
        <v>179</v>
      </c>
      <c r="C5" s="66">
        <v>3579.9241346438948</v>
      </c>
      <c r="D5" s="66">
        <v>3728.6111222987829</v>
      </c>
      <c r="E5" s="66">
        <v>3374.0926125681872</v>
      </c>
      <c r="F5" s="66">
        <v>3213.46424400559</v>
      </c>
      <c r="G5" s="66">
        <v>3082.8039477327038</v>
      </c>
      <c r="H5" s="66">
        <v>3174.431966103547</v>
      </c>
      <c r="I5" s="66">
        <v>3374.1291486420491</v>
      </c>
      <c r="J5" s="66">
        <v>3234.7668142669222</v>
      </c>
      <c r="K5" s="66">
        <v>3261.322727829941</v>
      </c>
      <c r="L5" s="66">
        <v>3398.6403172224541</v>
      </c>
      <c r="M5" s="66">
        <v>3443.2215068220412</v>
      </c>
      <c r="N5" s="66">
        <v>3558.481017277556</v>
      </c>
      <c r="O5" s="66">
        <v>3680.4558967406151</v>
      </c>
      <c r="P5" s="66">
        <v>3916.5350179642091</v>
      </c>
      <c r="Q5" s="66">
        <v>3952.997270519284</v>
      </c>
      <c r="R5" s="66">
        <v>4061.6484302342869</v>
      </c>
      <c r="S5" s="66">
        <v>4171.1765319764372</v>
      </c>
      <c r="T5" s="66">
        <v>4420.9728580868059</v>
      </c>
      <c r="U5" s="66">
        <v>4320.1106227639484</v>
      </c>
      <c r="V5" s="66">
        <v>4193.1815124439063</v>
      </c>
      <c r="W5" s="66">
        <v>4543.7084841158439</v>
      </c>
      <c r="X5" s="66">
        <v>4632.1515876130061</v>
      </c>
      <c r="Y5" s="66">
        <v>4672.9275485600028</v>
      </c>
      <c r="Z5" s="66">
        <v>4819.442430217081</v>
      </c>
      <c r="AA5" s="66">
        <v>4987.2835293870512</v>
      </c>
      <c r="AB5" s="66">
        <v>5189.6507094176031</v>
      </c>
      <c r="AC5" s="66">
        <v>5037.5346044766484</v>
      </c>
      <c r="AD5" s="66">
        <v>5136.0643293733483</v>
      </c>
      <c r="AE5" s="66">
        <v>5186.9128282624524</v>
      </c>
      <c r="AF5" s="66">
        <v>5115.9066787428146</v>
      </c>
      <c r="AG5" s="66">
        <v>5101.7033179749506</v>
      </c>
      <c r="AH5" s="66">
        <v>5097.6975129639677</v>
      </c>
      <c r="AI5" s="66">
        <v>5141.2126182489847</v>
      </c>
      <c r="AJ5" s="66">
        <v>5050.4918794341393</v>
      </c>
      <c r="AK5" s="66">
        <v>5094.2307184893853</v>
      </c>
      <c r="AL5" s="66">
        <v>4431.5505762560497</v>
      </c>
      <c r="AM5" s="66">
        <v>4422.0820766854467</v>
      </c>
      <c r="AN5" s="66">
        <v>4374.2129828425104</v>
      </c>
      <c r="AO5" s="66">
        <v>4332.880749931297</v>
      </c>
      <c r="AP5" s="66">
        <v>4314.4175791655371</v>
      </c>
      <c r="AQ5" s="66">
        <v>4073.3355815479908</v>
      </c>
      <c r="AR5" s="66">
        <v>4033.9396023743539</v>
      </c>
      <c r="AS5" s="66">
        <v>3997.6514766797009</v>
      </c>
      <c r="AT5" s="66">
        <v>3950.648244338533</v>
      </c>
      <c r="AU5" s="66">
        <v>3911.7022409316178</v>
      </c>
      <c r="AV5" s="66">
        <v>3910.3454629919338</v>
      </c>
      <c r="AW5" s="66">
        <v>3872.591810977121</v>
      </c>
      <c r="AX5" s="66">
        <v>3853.120722784111</v>
      </c>
      <c r="AY5" s="66">
        <v>3835.998989182528</v>
      </c>
      <c r="AZ5" s="66">
        <v>3817.508368163516</v>
      </c>
      <c r="BA5" s="66">
        <v>3753.1216049103391</v>
      </c>
      <c r="BB5" s="66">
        <v>3737.8183349843989</v>
      </c>
      <c r="BC5" s="66">
        <v>3725.1390599890478</v>
      </c>
      <c r="BD5" s="66">
        <v>3718.6892835925528</v>
      </c>
      <c r="BE5" s="66">
        <v>3715.6668060373049</v>
      </c>
      <c r="BF5" s="66">
        <v>3715.8043033238419</v>
      </c>
      <c r="BG5" s="66">
        <v>3719.6621584318982</v>
      </c>
      <c r="BH5" s="66">
        <v>3726.7893451879941</v>
      </c>
      <c r="BI5" s="66">
        <v>3735.3288113887838</v>
      </c>
      <c r="BJ5" s="66">
        <v>3745.5031391962239</v>
      </c>
      <c r="BK5" s="66">
        <v>3758.870146480273</v>
      </c>
      <c r="BL5" s="66"/>
      <c r="BM5" s="66"/>
      <c r="BN5" s="66"/>
      <c r="BO5" s="66"/>
      <c r="BP5" s="66"/>
      <c r="BQ5" s="66"/>
      <c r="BR5" s="66"/>
      <c r="BS5" s="66"/>
      <c r="BT5" s="66"/>
      <c r="BU5" s="66"/>
      <c r="BV5" s="66"/>
      <c r="BW5" s="66"/>
      <c r="BX5" s="66"/>
      <c r="BY5" s="66"/>
      <c r="BZ5" s="66"/>
      <c r="CA5" s="66"/>
      <c r="CB5" s="66"/>
      <c r="CC5" s="66"/>
      <c r="CD5" s="66"/>
      <c r="CE5" s="66"/>
      <c r="CF5" s="66"/>
      <c r="CG5" s="66"/>
      <c r="CH5" s="66"/>
      <c r="CI5" s="66"/>
      <c r="CJ5" s="66"/>
    </row>
    <row r="6" spans="1:88" x14ac:dyDescent="0.25">
      <c r="B6" s="11" t="s">
        <v>178</v>
      </c>
      <c r="C6" s="66">
        <v>33840.283749161157</v>
      </c>
      <c r="D6" s="66">
        <v>34074.831274586613</v>
      </c>
      <c r="E6" s="66">
        <v>33628.445253347221</v>
      </c>
      <c r="F6" s="66">
        <v>34020.004291135643</v>
      </c>
      <c r="G6" s="66">
        <v>35204.865105422592</v>
      </c>
      <c r="H6" s="66">
        <v>35814.008590280282</v>
      </c>
      <c r="I6" s="66">
        <v>36107.580122203988</v>
      </c>
      <c r="J6" s="66">
        <v>36971.02848862861</v>
      </c>
      <c r="K6" s="66">
        <v>36374.340734175443</v>
      </c>
      <c r="L6" s="66">
        <v>36563.713603897733</v>
      </c>
      <c r="M6" s="66">
        <v>37719.307740155178</v>
      </c>
      <c r="N6" s="66">
        <v>38558.352186850483</v>
      </c>
      <c r="O6" s="66">
        <v>38574.730959985427</v>
      </c>
      <c r="P6" s="66">
        <v>39180.878108018776</v>
      </c>
      <c r="Q6" s="66">
        <v>39321.158287361934</v>
      </c>
      <c r="R6" s="66">
        <v>39685.908703505636</v>
      </c>
      <c r="S6" s="66">
        <v>39520.160212432747</v>
      </c>
      <c r="T6" s="66">
        <v>38607.660637688343</v>
      </c>
      <c r="U6" s="66">
        <v>37424.447714031812</v>
      </c>
      <c r="V6" s="66">
        <v>37647.347589056277</v>
      </c>
      <c r="W6" s="66">
        <v>37803.953080710773</v>
      </c>
      <c r="X6" s="66">
        <v>38457.727854158496</v>
      </c>
      <c r="Y6" s="66">
        <v>39307.101501168298</v>
      </c>
      <c r="Z6" s="66">
        <v>39384.71093180446</v>
      </c>
      <c r="AA6" s="66">
        <v>40009.999570326647</v>
      </c>
      <c r="AB6" s="66">
        <v>39493.478727345217</v>
      </c>
      <c r="AC6" s="66">
        <v>39115.279885961427</v>
      </c>
      <c r="AD6" s="66">
        <v>39106.182060821491</v>
      </c>
      <c r="AE6" s="66">
        <v>39470.543281588863</v>
      </c>
      <c r="AF6" s="66">
        <v>39617.706286414643</v>
      </c>
      <c r="AG6" s="66">
        <v>38659.609491014613</v>
      </c>
      <c r="AH6" s="66">
        <v>38203.434398874437</v>
      </c>
      <c r="AI6" s="66">
        <v>37802.845845922959</v>
      </c>
      <c r="AJ6" s="66">
        <v>37443.292134334981</v>
      </c>
      <c r="AK6" s="66">
        <v>37057.436370205302</v>
      </c>
      <c r="AL6" s="66">
        <v>36639.878762596811</v>
      </c>
      <c r="AM6" s="66">
        <v>36332.754695988362</v>
      </c>
      <c r="AN6" s="66">
        <v>36015.356895307901</v>
      </c>
      <c r="AO6" s="66">
        <v>35696.400582380149</v>
      </c>
      <c r="AP6" s="66">
        <v>35372.580865993797</v>
      </c>
      <c r="AQ6" s="66">
        <v>35036.282965538798</v>
      </c>
      <c r="AR6" s="66">
        <v>34766.927196686709</v>
      </c>
      <c r="AS6" s="66">
        <v>34464.871740659757</v>
      </c>
      <c r="AT6" s="66">
        <v>34166.99868571417</v>
      </c>
      <c r="AU6" s="66">
        <v>33879.71794461034</v>
      </c>
      <c r="AV6" s="66">
        <v>33581.054842427176</v>
      </c>
      <c r="AW6" s="66">
        <v>33295.451244675831</v>
      </c>
      <c r="AX6" s="66">
        <v>33002.177393594313</v>
      </c>
      <c r="AY6" s="66">
        <v>32730.966177385169</v>
      </c>
      <c r="AZ6" s="66">
        <v>32441.61066983172</v>
      </c>
      <c r="BA6" s="66">
        <v>32173.686609123932</v>
      </c>
      <c r="BB6" s="66">
        <v>31993.040189379051</v>
      </c>
      <c r="BC6" s="66">
        <v>31801.98220969706</v>
      </c>
      <c r="BD6" s="66">
        <v>31634.898382000789</v>
      </c>
      <c r="BE6" s="66">
        <v>31455.509938983061</v>
      </c>
      <c r="BF6" s="66">
        <v>31278.838233666</v>
      </c>
      <c r="BG6" s="66">
        <v>31103.655065137878</v>
      </c>
      <c r="BH6" s="66">
        <v>30935.942586758949</v>
      </c>
      <c r="BI6" s="66">
        <v>30765.25050623214</v>
      </c>
      <c r="BJ6" s="66">
        <v>30585.697197186451</v>
      </c>
      <c r="BK6" s="66">
        <v>30412.574239514299</v>
      </c>
      <c r="BL6" s="66"/>
      <c r="BM6" s="66"/>
      <c r="BN6" s="66"/>
      <c r="BO6" s="66"/>
      <c r="BP6" s="66"/>
      <c r="BQ6" s="66"/>
      <c r="BR6" s="66"/>
      <c r="BS6" s="66"/>
      <c r="BT6" s="66"/>
      <c r="BU6" s="66"/>
      <c r="BV6" s="66"/>
      <c r="BW6" s="66"/>
      <c r="BX6" s="66"/>
      <c r="BY6" s="66"/>
      <c r="BZ6" s="66"/>
      <c r="CA6" s="66"/>
      <c r="CB6" s="66"/>
      <c r="CC6" s="66"/>
      <c r="CD6" s="66"/>
      <c r="CE6" s="66"/>
      <c r="CF6" s="66"/>
      <c r="CG6" s="66"/>
      <c r="CH6" s="66"/>
      <c r="CI6" s="66"/>
      <c r="CJ6" s="66"/>
    </row>
    <row r="7" spans="1:88" x14ac:dyDescent="0.25">
      <c r="B7" s="11" t="s">
        <v>177</v>
      </c>
      <c r="C7" s="66">
        <v>3961.3228069595039</v>
      </c>
      <c r="D7" s="66">
        <v>4072.5040786937202</v>
      </c>
      <c r="E7" s="66">
        <v>4175.2540376189299</v>
      </c>
      <c r="F7" s="66">
        <v>4278.7712399228212</v>
      </c>
      <c r="G7" s="66">
        <v>4161.6850501948966</v>
      </c>
      <c r="H7" s="66">
        <v>4252.7507010210247</v>
      </c>
      <c r="I7" s="66">
        <v>4339.6552071815222</v>
      </c>
      <c r="J7" s="66">
        <v>4400.303841715031</v>
      </c>
      <c r="K7" s="66">
        <v>4398.2532497463126</v>
      </c>
      <c r="L7" s="66">
        <v>4423.8712668421549</v>
      </c>
      <c r="M7" s="66">
        <v>4452.1643848084695</v>
      </c>
      <c r="N7" s="66">
        <v>4475.149622991632</v>
      </c>
      <c r="O7" s="66">
        <v>4493.3085440466039</v>
      </c>
      <c r="P7" s="66">
        <v>4405.1659153015926</v>
      </c>
      <c r="Q7" s="66">
        <v>4424.7782201043001</v>
      </c>
      <c r="R7" s="66">
        <v>4420.1453287212416</v>
      </c>
      <c r="S7" s="66">
        <v>4224.7731131169194</v>
      </c>
      <c r="T7" s="66">
        <v>4184.0694358620658</v>
      </c>
      <c r="U7" s="66">
        <v>4097.6395120161951</v>
      </c>
      <c r="V7" s="66">
        <v>3964.3762303904068</v>
      </c>
      <c r="W7" s="66">
        <v>3906.7148907973719</v>
      </c>
      <c r="X7" s="66">
        <v>3754.633638871956</v>
      </c>
      <c r="Y7" s="66">
        <v>3645.4476238363482</v>
      </c>
      <c r="Z7" s="66">
        <v>3594.1906229658271</v>
      </c>
      <c r="AA7" s="66">
        <v>3549.100760623724</v>
      </c>
      <c r="AB7" s="66">
        <v>3510.0480594541691</v>
      </c>
      <c r="AC7" s="66">
        <v>3481.6909035639642</v>
      </c>
      <c r="AD7" s="66">
        <v>3435.726585563903</v>
      </c>
      <c r="AE7" s="66">
        <v>3365.2910954537342</v>
      </c>
      <c r="AF7" s="66">
        <v>3316.9076752541569</v>
      </c>
      <c r="AG7" s="66">
        <v>3294.9320703216749</v>
      </c>
      <c r="AH7" s="66">
        <v>3261.5672554341481</v>
      </c>
      <c r="AI7" s="66">
        <v>3230.576952200297</v>
      </c>
      <c r="AJ7" s="66">
        <v>3144.218932160145</v>
      </c>
      <c r="AK7" s="66">
        <v>3057.4939662373481</v>
      </c>
      <c r="AL7" s="66">
        <v>2969.9845330191429</v>
      </c>
      <c r="AM7" s="66">
        <v>2881.0511277844089</v>
      </c>
      <c r="AN7" s="66">
        <v>2791.843562821176</v>
      </c>
      <c r="AO7" s="66">
        <v>2702.760656342889</v>
      </c>
      <c r="AP7" s="66">
        <v>2614.1268608405589</v>
      </c>
      <c r="AQ7" s="66">
        <v>2525.9792840995151</v>
      </c>
      <c r="AR7" s="66">
        <v>2452.307921342378</v>
      </c>
      <c r="AS7" s="66">
        <v>2383.426721305882</v>
      </c>
      <c r="AT7" s="66">
        <v>2317.516671599717</v>
      </c>
      <c r="AU7" s="66">
        <v>2253.5418685436739</v>
      </c>
      <c r="AV7" s="66">
        <v>2191.1563891873889</v>
      </c>
      <c r="AW7" s="66">
        <v>2130.033450805327</v>
      </c>
      <c r="AX7" s="66">
        <v>2070.0786829200911</v>
      </c>
      <c r="AY7" s="66">
        <v>2011.2659088516309</v>
      </c>
      <c r="AZ7" s="66">
        <v>1953.4275606070089</v>
      </c>
      <c r="BA7" s="66">
        <v>1896.6644073530019</v>
      </c>
      <c r="BB7" s="66">
        <v>1850.2934492285699</v>
      </c>
      <c r="BC7" s="66">
        <v>1804.818755518249</v>
      </c>
      <c r="BD7" s="66">
        <v>1760.238637974699</v>
      </c>
      <c r="BE7" s="66">
        <v>1716.4704427428319</v>
      </c>
      <c r="BF7" s="66">
        <v>1673.61101031917</v>
      </c>
      <c r="BG7" s="66">
        <v>1631.527583972548</v>
      </c>
      <c r="BH7" s="66">
        <v>1590.159760493304</v>
      </c>
      <c r="BI7" s="66">
        <v>1549.6292408034669</v>
      </c>
      <c r="BJ7" s="66">
        <v>1509.8556660016091</v>
      </c>
      <c r="BK7" s="66">
        <v>1471.052295688806</v>
      </c>
      <c r="BL7" s="66"/>
      <c r="BM7" s="66"/>
      <c r="BN7" s="66"/>
      <c r="BO7" s="66"/>
      <c r="BP7" s="66"/>
      <c r="BQ7" s="66"/>
      <c r="BR7" s="66"/>
      <c r="BS7" s="66"/>
      <c r="BT7" s="66"/>
      <c r="BU7" s="66"/>
      <c r="BV7" s="66"/>
      <c r="BW7" s="66"/>
      <c r="BX7" s="66"/>
      <c r="BY7" s="66"/>
      <c r="BZ7" s="66"/>
      <c r="CA7" s="66"/>
      <c r="CB7" s="66"/>
      <c r="CC7" s="66"/>
      <c r="CD7" s="66"/>
      <c r="CE7" s="66"/>
      <c r="CF7" s="66"/>
      <c r="CG7" s="66"/>
      <c r="CH7" s="66"/>
      <c r="CI7" s="66"/>
      <c r="CJ7" s="66"/>
    </row>
    <row r="8" spans="1:88" x14ac:dyDescent="0.25">
      <c r="B8" s="11" t="s">
        <v>176</v>
      </c>
      <c r="C8" s="66">
        <v>665.60775219532991</v>
      </c>
      <c r="D8" s="66">
        <v>676.96490913684556</v>
      </c>
      <c r="E8" s="66">
        <v>766.44383314418587</v>
      </c>
      <c r="F8" s="66">
        <v>815.65117372812551</v>
      </c>
      <c r="G8" s="66">
        <v>834.97323531826112</v>
      </c>
      <c r="H8" s="66">
        <v>552.58791030476755</v>
      </c>
      <c r="I8" s="66">
        <v>-184.88321335853809</v>
      </c>
      <c r="J8" s="66">
        <v>-1390.3944471489931</v>
      </c>
      <c r="K8" s="66">
        <v>-3377.9560506208309</v>
      </c>
      <c r="L8" s="66">
        <v>-6009.0610497527787</v>
      </c>
      <c r="M8" s="66">
        <v>-6106.9622169089553</v>
      </c>
      <c r="N8" s="66">
        <v>-8551.4312043525169</v>
      </c>
      <c r="O8" s="66">
        <v>-10633.94865603817</v>
      </c>
      <c r="P8" s="66">
        <v>-10084.70435127073</v>
      </c>
      <c r="Q8" s="66">
        <v>-7218.0099532420736</v>
      </c>
      <c r="R8" s="66">
        <v>-1950.784276649656</v>
      </c>
      <c r="S8" s="66">
        <v>685.43184862696637</v>
      </c>
      <c r="T8" s="66">
        <v>5943.1294763206406</v>
      </c>
      <c r="U8" s="66">
        <v>-13775.893910354789</v>
      </c>
      <c r="V8" s="66">
        <v>-11503.389537710091</v>
      </c>
      <c r="W8" s="66">
        <v>-12436.8036332096</v>
      </c>
      <c r="X8" s="66">
        <v>-13473.69962601804</v>
      </c>
      <c r="Y8" s="66">
        <v>-11701.17873528489</v>
      </c>
      <c r="Z8" s="66">
        <v>-8907.8645594351565</v>
      </c>
      <c r="AA8" s="66">
        <v>-12194.712173791409</v>
      </c>
      <c r="AB8" s="66">
        <v>-13202.520611804081</v>
      </c>
      <c r="AC8" s="66">
        <v>-14095.9646202599</v>
      </c>
      <c r="AD8" s="66">
        <v>-12383.44458105273</v>
      </c>
      <c r="AE8" s="66">
        <v>-10490.05519428377</v>
      </c>
      <c r="AF8" s="66">
        <v>-7390.2130984936066</v>
      </c>
      <c r="AG8" s="66">
        <v>-8567.5852885660443</v>
      </c>
      <c r="AH8" s="66">
        <v>-7347.1453135279316</v>
      </c>
      <c r="AI8" s="66">
        <v>-6951.0142275022081</v>
      </c>
      <c r="AJ8" s="66">
        <v>-6403.9768825271822</v>
      </c>
      <c r="AK8" s="66">
        <v>-6245.5469455662987</v>
      </c>
      <c r="AL8" s="66">
        <v>-6752.6624696278786</v>
      </c>
      <c r="AM8" s="66">
        <v>-8310.0193796885105</v>
      </c>
      <c r="AN8" s="66">
        <v>-9198.0459771852838</v>
      </c>
      <c r="AO8" s="66">
        <v>-10127.33269585983</v>
      </c>
      <c r="AP8" s="66">
        <v>-10925.39412427722</v>
      </c>
      <c r="AQ8" s="66">
        <v>-11624.715190833629</v>
      </c>
      <c r="AR8" s="66">
        <v>-12365.11737178775</v>
      </c>
      <c r="AS8" s="66">
        <v>-13111.500569178719</v>
      </c>
      <c r="AT8" s="66">
        <v>-13802.55089525901</v>
      </c>
      <c r="AU8" s="66">
        <v>-14423.356793805529</v>
      </c>
      <c r="AV8" s="66">
        <v>-15229.260394463059</v>
      </c>
      <c r="AW8" s="66">
        <v>-16302.3439804923</v>
      </c>
      <c r="AX8" s="66">
        <v>-17662.513229342319</v>
      </c>
      <c r="AY8" s="66">
        <v>-18663.01880982978</v>
      </c>
      <c r="AZ8" s="66">
        <v>-19644.286954478139</v>
      </c>
      <c r="BA8" s="66">
        <v>-20580.452117301818</v>
      </c>
      <c r="BB8" s="66">
        <v>-21267.44325626942</v>
      </c>
      <c r="BC8" s="66">
        <v>-21487.112727952732</v>
      </c>
      <c r="BD8" s="66">
        <v>-21565.738319610002</v>
      </c>
      <c r="BE8" s="66">
        <v>-21575.299469862941</v>
      </c>
      <c r="BF8" s="66">
        <v>-21587.195984068891</v>
      </c>
      <c r="BG8" s="66">
        <v>-21656.00036237709</v>
      </c>
      <c r="BH8" s="66">
        <v>-21693.86350988394</v>
      </c>
      <c r="BI8" s="66">
        <v>-21676.729276281869</v>
      </c>
      <c r="BJ8" s="66">
        <v>-21590.155141587311</v>
      </c>
      <c r="BK8" s="66">
        <v>-21434.481787676868</v>
      </c>
      <c r="BL8" s="66"/>
      <c r="BM8" s="66"/>
      <c r="BN8" s="66"/>
      <c r="BO8" s="66"/>
      <c r="BP8" s="66"/>
      <c r="BQ8" s="66"/>
      <c r="BR8" s="66"/>
      <c r="BS8" s="66"/>
      <c r="BT8" s="66"/>
      <c r="BU8" s="66"/>
      <c r="BV8" s="66"/>
      <c r="BW8" s="66"/>
      <c r="BX8" s="66"/>
      <c r="BY8" s="66"/>
      <c r="BZ8" s="66"/>
      <c r="CA8" s="66"/>
      <c r="CB8" s="66"/>
      <c r="CC8" s="66"/>
      <c r="CD8" s="66"/>
      <c r="CE8" s="66"/>
      <c r="CF8" s="66"/>
      <c r="CG8" s="66"/>
      <c r="CH8" s="66"/>
      <c r="CI8" s="66"/>
      <c r="CJ8" s="66"/>
    </row>
    <row r="9" spans="1:88" x14ac:dyDescent="0.25">
      <c r="B9" s="11" t="s">
        <v>175</v>
      </c>
      <c r="C9" s="66">
        <v>65791.661935664772</v>
      </c>
      <c r="D9" s="66">
        <v>66679.017707485458</v>
      </c>
      <c r="E9" s="66">
        <v>67916.681765338246</v>
      </c>
      <c r="F9" s="66">
        <v>67725.880326011276</v>
      </c>
      <c r="G9" s="66">
        <v>68967.172515940387</v>
      </c>
      <c r="H9" s="66">
        <v>69462.567149596216</v>
      </c>
      <c r="I9" s="66">
        <v>70785.413419322183</v>
      </c>
      <c r="J9" s="66">
        <v>72275.519025235131</v>
      </c>
      <c r="K9" s="66">
        <v>68188.01425824991</v>
      </c>
      <c r="L9" s="66">
        <v>67353.91611313571</v>
      </c>
      <c r="M9" s="66">
        <v>69287.17076897416</v>
      </c>
      <c r="N9" s="66">
        <v>69831.329542443898</v>
      </c>
      <c r="O9" s="66">
        <v>67925.945708190324</v>
      </c>
      <c r="P9" s="66">
        <v>70645.338256973148</v>
      </c>
      <c r="Q9" s="66">
        <v>73326.729432960245</v>
      </c>
      <c r="R9" s="66">
        <v>80530.893475488308</v>
      </c>
      <c r="S9" s="66">
        <v>83199.364600457397</v>
      </c>
      <c r="T9" s="66">
        <v>86461.206060117765</v>
      </c>
      <c r="U9" s="66">
        <v>66825.048547827508</v>
      </c>
      <c r="V9" s="66">
        <v>66374.045786678544</v>
      </c>
      <c r="W9" s="66">
        <v>65875.077227399161</v>
      </c>
      <c r="X9" s="66">
        <v>64670.988102069088</v>
      </c>
      <c r="Y9" s="66">
        <v>68740.825271216701</v>
      </c>
      <c r="Z9" s="66">
        <v>70916.380914506866</v>
      </c>
      <c r="AA9" s="66">
        <v>68475.759225307163</v>
      </c>
      <c r="AB9" s="66">
        <v>67518.48536156716</v>
      </c>
      <c r="AC9" s="66">
        <v>64578.943526878247</v>
      </c>
      <c r="AD9" s="66">
        <v>67895.015692125307</v>
      </c>
      <c r="AE9" s="66">
        <v>70084.610481216514</v>
      </c>
      <c r="AF9" s="66">
        <v>74923.35863537126</v>
      </c>
      <c r="AG9" s="66">
        <v>71531.438939204774</v>
      </c>
      <c r="AH9" s="66">
        <v>71501.083903294319</v>
      </c>
      <c r="AI9" s="66">
        <v>71727.27837623714</v>
      </c>
      <c r="AJ9" s="66">
        <v>70737.872774573712</v>
      </c>
      <c r="AK9" s="66">
        <v>69622.508706453766</v>
      </c>
      <c r="AL9" s="66">
        <v>65928.276737372493</v>
      </c>
      <c r="AM9" s="66">
        <v>63702.761088065759</v>
      </c>
      <c r="AN9" s="66">
        <v>62022.252305368464</v>
      </c>
      <c r="AO9" s="66">
        <v>59940.987101625222</v>
      </c>
      <c r="AP9" s="66">
        <v>57814.235911186828</v>
      </c>
      <c r="AQ9" s="66">
        <v>54834.483516737018</v>
      </c>
      <c r="AR9" s="66">
        <v>52557.291903792087</v>
      </c>
      <c r="AS9" s="66">
        <v>50224.802562132892</v>
      </c>
      <c r="AT9" s="66">
        <v>47918.713579907082</v>
      </c>
      <c r="AU9" s="66">
        <v>45691.344267740496</v>
      </c>
      <c r="AV9" s="66">
        <v>43317.107361900649</v>
      </c>
      <c r="AW9" s="66">
        <v>40658.825982217211</v>
      </c>
      <c r="AX9" s="66">
        <v>37805.203148331937</v>
      </c>
      <c r="AY9" s="66">
        <v>35225.547384867867</v>
      </c>
      <c r="AZ9" s="66">
        <v>32718.370328216981</v>
      </c>
      <c r="BA9" s="66">
        <v>29842.833840660562</v>
      </c>
      <c r="BB9" s="66">
        <v>28036.25951644923</v>
      </c>
      <c r="BC9" s="66">
        <v>26617.950864448099</v>
      </c>
      <c r="BD9" s="66">
        <v>25487.52417057467</v>
      </c>
      <c r="BE9" s="66">
        <v>24403.98341498178</v>
      </c>
      <c r="BF9" s="66">
        <v>23425.947592946879</v>
      </c>
      <c r="BG9" s="66">
        <v>22351.67741242515</v>
      </c>
      <c r="BH9" s="66">
        <v>21462.727920249079</v>
      </c>
      <c r="BI9" s="66">
        <v>20737.472640968201</v>
      </c>
      <c r="BJ9" s="66">
        <v>20036.39236687206</v>
      </c>
      <c r="BK9" s="66">
        <v>19404.684482154418</v>
      </c>
      <c r="BL9" s="66"/>
      <c r="BM9" s="66"/>
      <c r="BN9" s="66"/>
      <c r="BO9" s="66"/>
      <c r="BP9" s="66"/>
      <c r="BQ9" s="66"/>
      <c r="BR9" s="66"/>
      <c r="BS9" s="66"/>
      <c r="BT9" s="66"/>
      <c r="BU9" s="66"/>
      <c r="BV9" s="66"/>
      <c r="BW9" s="66"/>
      <c r="BX9" s="66"/>
      <c r="BY9" s="66"/>
      <c r="BZ9" s="66"/>
      <c r="CA9" s="66"/>
      <c r="CB9" s="66"/>
      <c r="CC9" s="66"/>
      <c r="CD9" s="66"/>
      <c r="CE9" s="66"/>
      <c r="CF9" s="66"/>
      <c r="CG9" s="66"/>
      <c r="CH9" s="66"/>
      <c r="CI9" s="66"/>
      <c r="CJ9" s="66"/>
    </row>
    <row r="10" spans="1:88" x14ac:dyDescent="0.25">
      <c r="B10" s="11" t="s">
        <v>174</v>
      </c>
      <c r="C10" s="66">
        <v>65126.054183469438</v>
      </c>
      <c r="D10" s="66">
        <v>66002.05279834861</v>
      </c>
      <c r="E10" s="66">
        <v>67150.237932194053</v>
      </c>
      <c r="F10" s="66">
        <v>66910.229152283151</v>
      </c>
      <c r="G10" s="66">
        <v>68132.199280622124</v>
      </c>
      <c r="H10" s="66">
        <v>68909.979239291453</v>
      </c>
      <c r="I10" s="66">
        <v>70970.296632680722</v>
      </c>
      <c r="J10" s="66">
        <v>73665.913472384127</v>
      </c>
      <c r="K10" s="66">
        <v>71565.970308870747</v>
      </c>
      <c r="L10" s="66">
        <v>73362.977162888492</v>
      </c>
      <c r="M10" s="66">
        <v>75394.132985883116</v>
      </c>
      <c r="N10" s="66">
        <v>78382.760746796412</v>
      </c>
      <c r="O10" s="66">
        <v>78559.894364228501</v>
      </c>
      <c r="P10" s="66">
        <v>80730.042608243879</v>
      </c>
      <c r="Q10" s="66">
        <v>80544.739386202316</v>
      </c>
      <c r="R10" s="66">
        <v>82481.67775213797</v>
      </c>
      <c r="S10" s="66">
        <v>82513.932751830434</v>
      </c>
      <c r="T10" s="66">
        <v>80518.076583797127</v>
      </c>
      <c r="U10" s="66">
        <v>80600.942458182297</v>
      </c>
      <c r="V10" s="66">
        <v>77877.435324388629</v>
      </c>
      <c r="W10" s="66">
        <v>78311.88086060877</v>
      </c>
      <c r="X10" s="66">
        <v>78144.687728087127</v>
      </c>
      <c r="Y10" s="66">
        <v>80442.004006501593</v>
      </c>
      <c r="Z10" s="66">
        <v>79824.245473942021</v>
      </c>
      <c r="AA10" s="66">
        <v>80670.471399098577</v>
      </c>
      <c r="AB10" s="66">
        <v>80721.005973371241</v>
      </c>
      <c r="AC10" s="66">
        <v>78674.908147138151</v>
      </c>
      <c r="AD10" s="66">
        <v>80278.460273178047</v>
      </c>
      <c r="AE10" s="66">
        <v>80574.665675500291</v>
      </c>
      <c r="AF10" s="66">
        <v>82313.571733864868</v>
      </c>
      <c r="AG10" s="66">
        <v>80099.024227770817</v>
      </c>
      <c r="AH10" s="66">
        <v>78848.229216822248</v>
      </c>
      <c r="AI10" s="66">
        <v>78678.292603739348</v>
      </c>
      <c r="AJ10" s="66">
        <v>77141.849657100887</v>
      </c>
      <c r="AK10" s="66">
        <v>75868.055652020063</v>
      </c>
      <c r="AL10" s="66">
        <v>72680.939207000367</v>
      </c>
      <c r="AM10" s="66">
        <v>72012.780467754274</v>
      </c>
      <c r="AN10" s="66">
        <v>71220.298282553747</v>
      </c>
      <c r="AO10" s="66">
        <v>70068.319797485048</v>
      </c>
      <c r="AP10" s="66">
        <v>68739.630035464041</v>
      </c>
      <c r="AQ10" s="66">
        <v>66459.198707570657</v>
      </c>
      <c r="AR10" s="66">
        <v>64922.409275579841</v>
      </c>
      <c r="AS10" s="66">
        <v>63336.303131311601</v>
      </c>
      <c r="AT10" s="66">
        <v>61721.264475166099</v>
      </c>
      <c r="AU10" s="66">
        <v>60114.701061546017</v>
      </c>
      <c r="AV10" s="66">
        <v>58546.367756363717</v>
      </c>
      <c r="AW10" s="66">
        <v>56961.169962709508</v>
      </c>
      <c r="AX10" s="66">
        <v>55467.71637767426</v>
      </c>
      <c r="AY10" s="66">
        <v>53888.566194697647</v>
      </c>
      <c r="AZ10" s="66">
        <v>52362.657282695123</v>
      </c>
      <c r="BA10" s="66">
        <v>50423.285957962376</v>
      </c>
      <c r="BB10" s="66">
        <v>49303.702772718651</v>
      </c>
      <c r="BC10" s="66">
        <v>48105.063592400831</v>
      </c>
      <c r="BD10" s="66">
        <v>47053.262490184658</v>
      </c>
      <c r="BE10" s="66">
        <v>45979.282884844717</v>
      </c>
      <c r="BF10" s="66">
        <v>45013.143577015762</v>
      </c>
      <c r="BG10" s="66">
        <v>44007.677774802243</v>
      </c>
      <c r="BH10" s="66">
        <v>43156.591430133019</v>
      </c>
      <c r="BI10" s="66">
        <v>42414.201917250073</v>
      </c>
      <c r="BJ10" s="66">
        <v>41626.547508459371</v>
      </c>
      <c r="BK10" s="66">
        <v>40839.166269831287</v>
      </c>
      <c r="BL10" s="66"/>
      <c r="BM10" s="66"/>
      <c r="BN10" s="66"/>
      <c r="BO10" s="66"/>
      <c r="BP10" s="66"/>
      <c r="BQ10" s="66"/>
      <c r="BR10" s="66"/>
      <c r="BS10" s="66"/>
      <c r="BT10" s="66"/>
      <c r="BU10" s="66"/>
      <c r="BV10" s="66"/>
      <c r="BW10" s="66"/>
      <c r="BX10" s="66"/>
      <c r="BY10" s="66"/>
      <c r="BZ10" s="66"/>
      <c r="CA10" s="66"/>
      <c r="CB10" s="66"/>
      <c r="CC10" s="66"/>
      <c r="CD10" s="66"/>
      <c r="CE10" s="66"/>
      <c r="CF10" s="66"/>
      <c r="CG10" s="66"/>
      <c r="CH10" s="66"/>
      <c r="CI10" s="66"/>
      <c r="CJ10" s="66"/>
    </row>
    <row r="11" spans="1:88" x14ac:dyDescent="0.25">
      <c r="AI11" s="66">
        <f>SUM(AH9:AQ9)</f>
        <v>647831.74042091472</v>
      </c>
      <c r="AQ11" s="11">
        <f>AQ15/W15</f>
        <v>0.91569846905825658</v>
      </c>
    </row>
    <row r="12" spans="1:88" x14ac:dyDescent="0.25">
      <c r="A12" s="11" t="s">
        <v>183</v>
      </c>
      <c r="B12" s="11" t="s">
        <v>181</v>
      </c>
      <c r="C12" s="66">
        <v>0</v>
      </c>
      <c r="D12" s="66">
        <v>0</v>
      </c>
      <c r="E12" s="66">
        <v>0</v>
      </c>
      <c r="F12" s="66">
        <v>0</v>
      </c>
      <c r="G12" s="66">
        <v>0</v>
      </c>
      <c r="H12" s="66">
        <v>0</v>
      </c>
      <c r="I12" s="66">
        <v>0</v>
      </c>
      <c r="J12" s="66">
        <v>0</v>
      </c>
      <c r="K12" s="66">
        <v>0</v>
      </c>
      <c r="L12" s="66">
        <v>0</v>
      </c>
      <c r="M12" s="66">
        <v>0</v>
      </c>
      <c r="N12" s="66">
        <v>0</v>
      </c>
      <c r="O12" s="66">
        <v>0</v>
      </c>
      <c r="P12" s="66">
        <v>0</v>
      </c>
      <c r="Q12" s="66">
        <v>0</v>
      </c>
      <c r="R12" s="66">
        <v>0</v>
      </c>
      <c r="S12" s="66">
        <v>0</v>
      </c>
      <c r="T12" s="66">
        <v>0</v>
      </c>
      <c r="U12" s="66">
        <v>0</v>
      </c>
      <c r="V12" s="66">
        <v>0</v>
      </c>
      <c r="W12" s="66">
        <v>0</v>
      </c>
      <c r="X12" s="66">
        <v>0</v>
      </c>
      <c r="Y12" s="66">
        <v>0</v>
      </c>
      <c r="Z12" s="66">
        <v>0</v>
      </c>
      <c r="AA12" s="66">
        <v>0</v>
      </c>
      <c r="AB12" s="66">
        <v>0</v>
      </c>
      <c r="AC12" s="66">
        <v>0</v>
      </c>
      <c r="AD12" s="66">
        <v>0</v>
      </c>
      <c r="AE12" s="66">
        <v>0</v>
      </c>
      <c r="AF12" s="66">
        <v>0</v>
      </c>
      <c r="AG12" s="66">
        <v>0</v>
      </c>
      <c r="AH12" s="66">
        <v>0</v>
      </c>
      <c r="AI12" s="66">
        <v>0</v>
      </c>
      <c r="AJ12" s="66">
        <v>0</v>
      </c>
      <c r="AK12" s="66">
        <v>0</v>
      </c>
      <c r="AL12" s="66">
        <v>0</v>
      </c>
      <c r="AM12" s="66">
        <v>0</v>
      </c>
      <c r="AN12" s="66">
        <v>0</v>
      </c>
      <c r="AO12" s="66">
        <v>0</v>
      </c>
      <c r="AP12" s="66">
        <v>0</v>
      </c>
      <c r="AQ12" s="66">
        <v>0</v>
      </c>
      <c r="AR12" s="66">
        <v>0</v>
      </c>
      <c r="AS12" s="66">
        <v>0</v>
      </c>
      <c r="AT12" s="66">
        <v>0</v>
      </c>
      <c r="AU12" s="66">
        <v>0</v>
      </c>
      <c r="AV12" s="66">
        <v>0</v>
      </c>
      <c r="AW12" s="66">
        <v>0</v>
      </c>
      <c r="AX12" s="66">
        <v>0</v>
      </c>
      <c r="AY12" s="66">
        <v>0</v>
      </c>
      <c r="AZ12" s="66">
        <v>0</v>
      </c>
      <c r="BA12" s="66">
        <v>0</v>
      </c>
      <c r="BB12" s="66">
        <v>0</v>
      </c>
      <c r="BC12" s="66">
        <v>0</v>
      </c>
      <c r="BD12" s="66">
        <v>0</v>
      </c>
      <c r="BE12" s="66">
        <v>0</v>
      </c>
      <c r="BF12" s="66">
        <v>0</v>
      </c>
      <c r="BG12" s="66">
        <v>0</v>
      </c>
      <c r="BH12" s="66">
        <v>0</v>
      </c>
      <c r="BI12" s="66">
        <v>0</v>
      </c>
      <c r="BJ12" s="66">
        <v>0</v>
      </c>
      <c r="BK12" s="66">
        <v>0</v>
      </c>
      <c r="BL12" s="66"/>
      <c r="BM12" s="66"/>
      <c r="BN12" s="66"/>
      <c r="BO12" s="66"/>
      <c r="BP12" s="66"/>
      <c r="BQ12" s="66"/>
      <c r="BR12" s="66"/>
      <c r="BS12" s="66"/>
      <c r="BT12" s="66"/>
      <c r="BU12" s="66"/>
      <c r="BV12" s="66"/>
      <c r="BW12" s="66"/>
      <c r="BX12" s="66"/>
      <c r="BY12" s="66"/>
      <c r="BZ12" s="66"/>
      <c r="CA12" s="66"/>
      <c r="CB12" s="66"/>
      <c r="CC12" s="66"/>
      <c r="CD12" s="66"/>
      <c r="CE12" s="66"/>
      <c r="CF12" s="66"/>
      <c r="CG12" s="66"/>
      <c r="CH12" s="66"/>
      <c r="CI12" s="66"/>
      <c r="CJ12" s="66"/>
    </row>
    <row r="13" spans="1:88" x14ac:dyDescent="0.25">
      <c r="B13" s="11" t="s">
        <v>180</v>
      </c>
      <c r="C13" s="66">
        <v>0</v>
      </c>
      <c r="D13" s="66">
        <v>0</v>
      </c>
      <c r="E13" s="66">
        <v>0</v>
      </c>
      <c r="F13" s="66">
        <v>0</v>
      </c>
      <c r="G13" s="66">
        <v>0</v>
      </c>
      <c r="H13" s="66">
        <v>0</v>
      </c>
      <c r="I13" s="66">
        <v>0</v>
      </c>
      <c r="J13" s="66">
        <v>0</v>
      </c>
      <c r="K13" s="66">
        <v>0</v>
      </c>
      <c r="L13" s="66">
        <v>0</v>
      </c>
      <c r="M13" s="66">
        <v>0</v>
      </c>
      <c r="N13" s="66">
        <v>0</v>
      </c>
      <c r="O13" s="66">
        <v>0</v>
      </c>
      <c r="P13" s="66">
        <v>0</v>
      </c>
      <c r="Q13" s="66">
        <v>0</v>
      </c>
      <c r="R13" s="66">
        <v>0</v>
      </c>
      <c r="S13" s="66">
        <v>0</v>
      </c>
      <c r="T13" s="66">
        <v>0</v>
      </c>
      <c r="U13" s="66">
        <v>0</v>
      </c>
      <c r="V13" s="66">
        <v>0</v>
      </c>
      <c r="W13" s="66">
        <v>0</v>
      </c>
      <c r="X13" s="66">
        <v>0</v>
      </c>
      <c r="Y13" s="66">
        <v>0</v>
      </c>
      <c r="Z13" s="66">
        <v>0</v>
      </c>
      <c r="AA13" s="66">
        <v>0</v>
      </c>
      <c r="AB13" s="66">
        <v>0</v>
      </c>
      <c r="AC13" s="66">
        <v>0</v>
      </c>
      <c r="AD13" s="66">
        <v>0</v>
      </c>
      <c r="AE13" s="66">
        <v>0</v>
      </c>
      <c r="AF13" s="66">
        <v>0</v>
      </c>
      <c r="AG13" s="66">
        <v>0</v>
      </c>
      <c r="AH13" s="66">
        <v>0</v>
      </c>
      <c r="AI13" s="66">
        <v>0</v>
      </c>
      <c r="AJ13" s="66">
        <v>0</v>
      </c>
      <c r="AK13" s="66">
        <v>0</v>
      </c>
      <c r="AL13" s="66">
        <v>0</v>
      </c>
      <c r="AM13" s="66">
        <v>0</v>
      </c>
      <c r="AN13" s="66">
        <v>0</v>
      </c>
      <c r="AO13" s="66">
        <v>0</v>
      </c>
      <c r="AP13" s="66">
        <v>0</v>
      </c>
      <c r="AQ13" s="66">
        <v>0</v>
      </c>
      <c r="AR13" s="66">
        <v>0</v>
      </c>
      <c r="AS13" s="66">
        <v>0</v>
      </c>
      <c r="AT13" s="66">
        <v>0</v>
      </c>
      <c r="AU13" s="66">
        <v>0</v>
      </c>
      <c r="AV13" s="66">
        <v>0</v>
      </c>
      <c r="AW13" s="66">
        <v>0</v>
      </c>
      <c r="AX13" s="66">
        <v>0</v>
      </c>
      <c r="AY13" s="66">
        <v>0</v>
      </c>
      <c r="AZ13" s="66">
        <v>0</v>
      </c>
      <c r="BA13" s="66">
        <v>0</v>
      </c>
      <c r="BB13" s="66">
        <v>0</v>
      </c>
      <c r="BC13" s="66">
        <v>0</v>
      </c>
      <c r="BD13" s="66">
        <v>0</v>
      </c>
      <c r="BE13" s="66">
        <v>0</v>
      </c>
      <c r="BF13" s="66">
        <v>0</v>
      </c>
      <c r="BG13" s="66">
        <v>0</v>
      </c>
      <c r="BH13" s="66">
        <v>0</v>
      </c>
      <c r="BI13" s="66">
        <v>0</v>
      </c>
      <c r="BJ13" s="66">
        <v>0</v>
      </c>
      <c r="BK13" s="66">
        <v>0</v>
      </c>
      <c r="BL13" s="66"/>
      <c r="BM13" s="66"/>
      <c r="BN13" s="66"/>
      <c r="BO13" s="66"/>
      <c r="BP13" s="66"/>
      <c r="BQ13" s="66"/>
      <c r="BR13" s="66"/>
      <c r="BS13" s="66"/>
      <c r="BT13" s="66"/>
      <c r="BU13" s="66"/>
      <c r="BV13" s="66"/>
      <c r="BW13" s="66"/>
      <c r="BX13" s="66"/>
      <c r="BY13" s="66"/>
      <c r="BZ13" s="66"/>
      <c r="CA13" s="66"/>
      <c r="CB13" s="66"/>
      <c r="CC13" s="66"/>
      <c r="CD13" s="66"/>
      <c r="CE13" s="66"/>
      <c r="CF13" s="66"/>
      <c r="CG13" s="66"/>
      <c r="CH13" s="66"/>
      <c r="CI13" s="66"/>
      <c r="CJ13" s="66"/>
    </row>
    <row r="14" spans="1:88" x14ac:dyDescent="0.25">
      <c r="B14" s="11" t="s">
        <v>179</v>
      </c>
      <c r="C14" s="66">
        <v>0</v>
      </c>
      <c r="D14" s="66">
        <v>0</v>
      </c>
      <c r="E14" s="66">
        <v>0</v>
      </c>
      <c r="F14" s="66">
        <v>0</v>
      </c>
      <c r="G14" s="66">
        <v>0</v>
      </c>
      <c r="H14" s="66">
        <v>0</v>
      </c>
      <c r="I14" s="66">
        <v>0</v>
      </c>
      <c r="J14" s="66">
        <v>0</v>
      </c>
      <c r="K14" s="66">
        <v>0</v>
      </c>
      <c r="L14" s="66">
        <v>0</v>
      </c>
      <c r="M14" s="66">
        <v>0</v>
      </c>
      <c r="N14" s="66">
        <v>0</v>
      </c>
      <c r="O14" s="66">
        <v>0</v>
      </c>
      <c r="P14" s="66">
        <v>0</v>
      </c>
      <c r="Q14" s="66">
        <v>0</v>
      </c>
      <c r="R14" s="66">
        <v>0</v>
      </c>
      <c r="S14" s="66">
        <v>0</v>
      </c>
      <c r="T14" s="66">
        <v>0</v>
      </c>
      <c r="U14" s="66">
        <v>0</v>
      </c>
      <c r="V14" s="66">
        <v>0</v>
      </c>
      <c r="W14" s="66">
        <v>0</v>
      </c>
      <c r="X14" s="66">
        <v>0</v>
      </c>
      <c r="Y14" s="66">
        <v>0</v>
      </c>
      <c r="Z14" s="66">
        <v>0</v>
      </c>
      <c r="AA14" s="66">
        <v>0</v>
      </c>
      <c r="AB14" s="66">
        <v>0</v>
      </c>
      <c r="AC14" s="66">
        <v>0</v>
      </c>
      <c r="AD14" s="66">
        <v>0</v>
      </c>
      <c r="AE14" s="66">
        <v>0</v>
      </c>
      <c r="AF14" s="66">
        <v>0</v>
      </c>
      <c r="AG14" s="66">
        <v>0</v>
      </c>
      <c r="AH14" s="66">
        <v>0</v>
      </c>
      <c r="AI14" s="66">
        <v>0</v>
      </c>
      <c r="AJ14" s="66">
        <v>0</v>
      </c>
      <c r="AK14" s="66">
        <v>0</v>
      </c>
      <c r="AL14" s="66">
        <v>0</v>
      </c>
      <c r="AM14" s="66">
        <v>0</v>
      </c>
      <c r="AN14" s="66">
        <v>0</v>
      </c>
      <c r="AO14" s="66">
        <v>0</v>
      </c>
      <c r="AP14" s="66">
        <v>0</v>
      </c>
      <c r="AQ14" s="66">
        <v>0</v>
      </c>
      <c r="AR14" s="66">
        <v>0</v>
      </c>
      <c r="AS14" s="66">
        <v>0</v>
      </c>
      <c r="AT14" s="66">
        <v>0</v>
      </c>
      <c r="AU14" s="66">
        <v>0</v>
      </c>
      <c r="AV14" s="66">
        <v>0</v>
      </c>
      <c r="AW14" s="66">
        <v>0</v>
      </c>
      <c r="AX14" s="66">
        <v>0</v>
      </c>
      <c r="AY14" s="66">
        <v>0</v>
      </c>
      <c r="AZ14" s="66">
        <v>0</v>
      </c>
      <c r="BA14" s="66">
        <v>0</v>
      </c>
      <c r="BB14" s="66">
        <v>0</v>
      </c>
      <c r="BC14" s="66">
        <v>0</v>
      </c>
      <c r="BD14" s="66">
        <v>0</v>
      </c>
      <c r="BE14" s="66">
        <v>0</v>
      </c>
      <c r="BF14" s="66">
        <v>0</v>
      </c>
      <c r="BG14" s="66">
        <v>0</v>
      </c>
      <c r="BH14" s="66">
        <v>0</v>
      </c>
      <c r="BI14" s="66">
        <v>0</v>
      </c>
      <c r="BJ14" s="66">
        <v>0</v>
      </c>
      <c r="BK14" s="66">
        <v>0</v>
      </c>
      <c r="BL14" s="66"/>
      <c r="BM14" s="66"/>
      <c r="BN14" s="66"/>
      <c r="BO14" s="66"/>
      <c r="BP14" s="66"/>
      <c r="BQ14" s="66"/>
      <c r="BR14" s="66"/>
      <c r="BS14" s="66"/>
      <c r="BT14" s="66"/>
      <c r="BU14" s="66"/>
      <c r="BV14" s="66"/>
      <c r="BW14" s="66"/>
      <c r="BX14" s="66"/>
      <c r="BY14" s="66"/>
      <c r="BZ14" s="66"/>
      <c r="CA14" s="66"/>
      <c r="CB14" s="66"/>
      <c r="CC14" s="66"/>
      <c r="CD14" s="66"/>
      <c r="CE14" s="66"/>
      <c r="CF14" s="66"/>
      <c r="CG14" s="66"/>
      <c r="CH14" s="66"/>
      <c r="CI14" s="66"/>
      <c r="CJ14" s="66"/>
    </row>
    <row r="15" spans="1:88" x14ac:dyDescent="0.25">
      <c r="B15" s="11" t="s">
        <v>178</v>
      </c>
      <c r="C15" s="66">
        <v>28095.524517388571</v>
      </c>
      <c r="D15" s="66">
        <v>28218.74337592916</v>
      </c>
      <c r="E15" s="66">
        <v>27729.756779516429</v>
      </c>
      <c r="F15" s="66">
        <v>27848.32886108182</v>
      </c>
      <c r="G15" s="66">
        <v>28750.209601397499</v>
      </c>
      <c r="H15" s="66">
        <v>29038.514088500258</v>
      </c>
      <c r="I15" s="66">
        <v>29300.999082190039</v>
      </c>
      <c r="J15" s="66">
        <v>30050.26706830359</v>
      </c>
      <c r="K15" s="66">
        <v>29434.2557959152</v>
      </c>
      <c r="L15" s="66">
        <v>29500.989686337591</v>
      </c>
      <c r="M15" s="66">
        <v>30311.919582544811</v>
      </c>
      <c r="N15" s="66">
        <v>30665.234893553548</v>
      </c>
      <c r="O15" s="66">
        <v>30442.82781921927</v>
      </c>
      <c r="P15" s="66">
        <v>30851.388406456219</v>
      </c>
      <c r="Q15" s="66">
        <v>30866.90833276917</v>
      </c>
      <c r="R15" s="66">
        <v>31092.572849174969</v>
      </c>
      <c r="S15" s="66">
        <v>31277.850567110589</v>
      </c>
      <c r="T15" s="66">
        <v>30471.380908396219</v>
      </c>
      <c r="U15" s="66">
        <v>29351.418756398911</v>
      </c>
      <c r="V15" s="66">
        <v>29511.987872678179</v>
      </c>
      <c r="W15" s="66">
        <v>29541.359280921319</v>
      </c>
      <c r="X15" s="66">
        <v>29951.319847660361</v>
      </c>
      <c r="Y15" s="66">
        <v>30649.47620408659</v>
      </c>
      <c r="Z15" s="66">
        <v>30814.457468764271</v>
      </c>
      <c r="AA15" s="66">
        <v>31122.74845392854</v>
      </c>
      <c r="AB15" s="66">
        <v>30647.819934537711</v>
      </c>
      <c r="AC15" s="66">
        <v>30297.009650190768</v>
      </c>
      <c r="AD15" s="66">
        <v>30292.18629146658</v>
      </c>
      <c r="AE15" s="66">
        <v>30494.010731595728</v>
      </c>
      <c r="AF15" s="66">
        <v>30601.236605383401</v>
      </c>
      <c r="AG15" s="66">
        <v>29860.132492790839</v>
      </c>
      <c r="AH15" s="66">
        <v>29482.024074532979</v>
      </c>
      <c r="AI15" s="66">
        <v>29151.856198723559</v>
      </c>
      <c r="AJ15" s="66">
        <v>28853.22538843548</v>
      </c>
      <c r="AK15" s="66">
        <v>28533.723749842029</v>
      </c>
      <c r="AL15" s="66">
        <v>28201.014725666511</v>
      </c>
      <c r="AM15" s="66">
        <v>27982.41799238318</v>
      </c>
      <c r="AN15" s="66">
        <v>27756.14664547268</v>
      </c>
      <c r="AO15" s="66">
        <v>27526.832362619039</v>
      </c>
      <c r="AP15" s="66">
        <v>27292.549489372472</v>
      </c>
      <c r="AQ15" s="66">
        <v>27050.97746743957</v>
      </c>
      <c r="AR15" s="66">
        <v>26871.31254697009</v>
      </c>
      <c r="AS15" s="66">
        <v>26666.0270975643</v>
      </c>
      <c r="AT15" s="66">
        <v>26462.446309722931</v>
      </c>
      <c r="AU15" s="66">
        <v>26267.151330874149</v>
      </c>
      <c r="AV15" s="66">
        <v>26063.5104355107</v>
      </c>
      <c r="AW15" s="66">
        <v>25869.293832017949</v>
      </c>
      <c r="AX15" s="66">
        <v>25668.665910814769</v>
      </c>
      <c r="AY15" s="66">
        <v>25484.542181283781</v>
      </c>
      <c r="AZ15" s="66">
        <v>25287.224925033021</v>
      </c>
      <c r="BA15" s="66">
        <v>25104.907183748681</v>
      </c>
      <c r="BB15" s="66">
        <v>24981.55647002855</v>
      </c>
      <c r="BC15" s="66">
        <v>24850.225777271109</v>
      </c>
      <c r="BD15" s="66">
        <v>24736.992704023171</v>
      </c>
      <c r="BE15" s="66">
        <v>24614.659838441799</v>
      </c>
      <c r="BF15" s="66">
        <v>24494.306531243881</v>
      </c>
      <c r="BG15" s="66">
        <v>24375.446622898191</v>
      </c>
      <c r="BH15" s="66">
        <v>24261.6472788545</v>
      </c>
      <c r="BI15" s="66">
        <v>24145.828113248539</v>
      </c>
      <c r="BJ15" s="66">
        <v>24029.397881560209</v>
      </c>
      <c r="BK15" s="66">
        <v>23934.955731521259</v>
      </c>
      <c r="BL15" s="66"/>
      <c r="BM15" s="66"/>
      <c r="BN15" s="66"/>
      <c r="BO15" s="66"/>
      <c r="BP15" s="66"/>
      <c r="BQ15" s="66"/>
      <c r="BR15" s="66"/>
      <c r="BS15" s="66"/>
      <c r="BT15" s="66"/>
      <c r="BU15" s="66"/>
      <c r="BV15" s="66"/>
      <c r="BW15" s="66"/>
      <c r="BX15" s="66"/>
      <c r="BY15" s="66"/>
      <c r="BZ15" s="66"/>
      <c r="CA15" s="66"/>
      <c r="CB15" s="66"/>
      <c r="CC15" s="66"/>
      <c r="CD15" s="66"/>
      <c r="CE15" s="66"/>
      <c r="CF15" s="66"/>
      <c r="CG15" s="66"/>
      <c r="CH15" s="66"/>
      <c r="CI15" s="66"/>
      <c r="CJ15" s="66"/>
    </row>
    <row r="16" spans="1:88" x14ac:dyDescent="0.25">
      <c r="B16" s="11" t="s">
        <v>177</v>
      </c>
      <c r="C16" s="66">
        <v>3689.0267329063659</v>
      </c>
      <c r="D16" s="66">
        <v>3798.7095437863509</v>
      </c>
      <c r="E16" s="66">
        <v>3902.2958449075381</v>
      </c>
      <c r="F16" s="66">
        <v>4001.5581552224739</v>
      </c>
      <c r="G16" s="66">
        <v>3908.4469822995079</v>
      </c>
      <c r="H16" s="66">
        <v>3999.508785605437</v>
      </c>
      <c r="I16" s="66">
        <v>4091.0642040855491</v>
      </c>
      <c r="J16" s="66">
        <v>4140.1377088161844</v>
      </c>
      <c r="K16" s="66">
        <v>4125.4441047652363</v>
      </c>
      <c r="L16" s="66">
        <v>4139.38029803877</v>
      </c>
      <c r="M16" s="66">
        <v>4173.3667385416666</v>
      </c>
      <c r="N16" s="66">
        <v>4206.0967306742659</v>
      </c>
      <c r="O16" s="66">
        <v>4236.955474425361</v>
      </c>
      <c r="P16" s="66">
        <v>4156.8301067750263</v>
      </c>
      <c r="Q16" s="66">
        <v>4174.474693472529</v>
      </c>
      <c r="R16" s="66">
        <v>4174.7218337428258</v>
      </c>
      <c r="S16" s="66">
        <v>3979.5889507564302</v>
      </c>
      <c r="T16" s="66">
        <v>3942.1975779445329</v>
      </c>
      <c r="U16" s="66">
        <v>3860.73310075683</v>
      </c>
      <c r="V16" s="66">
        <v>3728.4124399025568</v>
      </c>
      <c r="W16" s="66">
        <v>3667.2040483385608</v>
      </c>
      <c r="X16" s="66">
        <v>3516.4264852503852</v>
      </c>
      <c r="Y16" s="66">
        <v>3404.6537346627638</v>
      </c>
      <c r="Z16" s="66">
        <v>3352.9059241924479</v>
      </c>
      <c r="AA16" s="66">
        <v>3303.5323121170209</v>
      </c>
      <c r="AB16" s="66">
        <v>3262.702085627745</v>
      </c>
      <c r="AC16" s="66">
        <v>3228.561836722095</v>
      </c>
      <c r="AD16" s="66">
        <v>3184.2649426332068</v>
      </c>
      <c r="AE16" s="66">
        <v>3113.0573852346611</v>
      </c>
      <c r="AF16" s="66">
        <v>3062.344936652305</v>
      </c>
      <c r="AG16" s="66">
        <v>3029.396315250809</v>
      </c>
      <c r="AH16" s="66">
        <v>2994.5645298400641</v>
      </c>
      <c r="AI16" s="66">
        <v>2963.1202542464471</v>
      </c>
      <c r="AJ16" s="66">
        <v>2876.2492678065319</v>
      </c>
      <c r="AK16" s="66">
        <v>2789.0253492793108</v>
      </c>
      <c r="AL16" s="66">
        <v>2700.9849880357938</v>
      </c>
      <c r="AM16" s="66">
        <v>2611.5433528953822</v>
      </c>
      <c r="AN16" s="66">
        <v>2521.8237414510659</v>
      </c>
      <c r="AO16" s="66">
        <v>2432.2395213285458</v>
      </c>
      <c r="AP16" s="66">
        <v>2343.1349354638428</v>
      </c>
      <c r="AQ16" s="66">
        <v>2254.5483338730392</v>
      </c>
      <c r="AR16" s="66">
        <v>2181.0109747613551</v>
      </c>
      <c r="AS16" s="66">
        <v>2112.2975061251491</v>
      </c>
      <c r="AT16" s="66">
        <v>2046.602994932533</v>
      </c>
      <c r="AU16" s="66">
        <v>1982.894606520508</v>
      </c>
      <c r="AV16" s="66">
        <v>1920.819725998685</v>
      </c>
      <c r="AW16" s="66">
        <v>1860.017361960249</v>
      </c>
      <c r="AX16" s="66">
        <v>1800.387027144752</v>
      </c>
      <c r="AY16" s="66">
        <v>1741.899349506404</v>
      </c>
      <c r="AZ16" s="66">
        <v>1684.3881686702821</v>
      </c>
      <c r="BA16" s="66">
        <v>1627.9535225582031</v>
      </c>
      <c r="BB16" s="66">
        <v>1581.906517158053</v>
      </c>
      <c r="BC16" s="66">
        <v>1536.756058355393</v>
      </c>
      <c r="BD16" s="66">
        <v>1492.498391499033</v>
      </c>
      <c r="BE16" s="66">
        <v>1449.054816449242</v>
      </c>
      <c r="BF16" s="66">
        <v>1406.5199976436561</v>
      </c>
      <c r="BG16" s="66">
        <v>1364.764267937476</v>
      </c>
      <c r="BH16" s="66">
        <v>1323.731536307823</v>
      </c>
      <c r="BI16" s="66">
        <v>1283.5320779526021</v>
      </c>
      <c r="BJ16" s="66">
        <v>1244.0961266140639</v>
      </c>
      <c r="BK16" s="66">
        <v>1205.626471545969</v>
      </c>
      <c r="BL16" s="66"/>
      <c r="BM16" s="66"/>
      <c r="BN16" s="66"/>
      <c r="BO16" s="66"/>
      <c r="BP16" s="66"/>
      <c r="BQ16" s="66"/>
      <c r="BR16" s="66"/>
      <c r="BS16" s="66"/>
      <c r="BT16" s="66"/>
      <c r="BU16" s="66"/>
      <c r="BV16" s="66"/>
      <c r="BW16" s="66"/>
      <c r="BX16" s="66"/>
      <c r="BY16" s="66"/>
      <c r="BZ16" s="66"/>
      <c r="CA16" s="66"/>
      <c r="CB16" s="66"/>
      <c r="CC16" s="66"/>
      <c r="CD16" s="66"/>
      <c r="CE16" s="66"/>
      <c r="CF16" s="66"/>
      <c r="CG16" s="66"/>
      <c r="CH16" s="66"/>
      <c r="CI16" s="66"/>
      <c r="CJ16" s="66"/>
    </row>
    <row r="17" spans="1:88" x14ac:dyDescent="0.25">
      <c r="B17" s="11" t="s">
        <v>176</v>
      </c>
      <c r="C17" s="66">
        <v>0</v>
      </c>
      <c r="D17" s="66">
        <v>0</v>
      </c>
      <c r="E17" s="66">
        <v>0</v>
      </c>
      <c r="F17" s="66">
        <v>0</v>
      </c>
      <c r="G17" s="66">
        <v>0</v>
      </c>
      <c r="H17" s="66">
        <v>0</v>
      </c>
      <c r="I17" s="66">
        <v>0</v>
      </c>
      <c r="J17" s="66">
        <v>0</v>
      </c>
      <c r="K17" s="66">
        <v>0</v>
      </c>
      <c r="L17" s="66">
        <v>0</v>
      </c>
      <c r="M17" s="66">
        <v>0</v>
      </c>
      <c r="N17" s="66">
        <v>0</v>
      </c>
      <c r="O17" s="66">
        <v>0</v>
      </c>
      <c r="P17" s="66">
        <v>0</v>
      </c>
      <c r="Q17" s="66">
        <v>0</v>
      </c>
      <c r="R17" s="66">
        <v>0</v>
      </c>
      <c r="S17" s="66">
        <v>0</v>
      </c>
      <c r="T17" s="66">
        <v>0</v>
      </c>
      <c r="U17" s="66">
        <v>0</v>
      </c>
      <c r="V17" s="66">
        <v>0</v>
      </c>
      <c r="W17" s="66">
        <v>0</v>
      </c>
      <c r="X17" s="66">
        <v>0</v>
      </c>
      <c r="Y17" s="66">
        <v>0</v>
      </c>
      <c r="Z17" s="66">
        <v>0</v>
      </c>
      <c r="AA17" s="66">
        <v>0</v>
      </c>
      <c r="AB17" s="66">
        <v>0</v>
      </c>
      <c r="AC17" s="66">
        <v>0</v>
      </c>
      <c r="AD17" s="66">
        <v>0</v>
      </c>
      <c r="AE17" s="66">
        <v>0</v>
      </c>
      <c r="AF17" s="66">
        <v>0</v>
      </c>
      <c r="AG17" s="66">
        <v>0</v>
      </c>
      <c r="AH17" s="66">
        <v>0</v>
      </c>
      <c r="AI17" s="66">
        <v>0</v>
      </c>
      <c r="AJ17" s="66">
        <v>0</v>
      </c>
      <c r="AK17" s="66">
        <v>0</v>
      </c>
      <c r="AL17" s="66">
        <v>0</v>
      </c>
      <c r="AM17" s="66">
        <v>0</v>
      </c>
      <c r="AN17" s="66">
        <v>0</v>
      </c>
      <c r="AO17" s="66">
        <v>0</v>
      </c>
      <c r="AP17" s="66">
        <v>0</v>
      </c>
      <c r="AQ17" s="66">
        <v>0</v>
      </c>
      <c r="AR17" s="66">
        <v>0</v>
      </c>
      <c r="AS17" s="66">
        <v>0</v>
      </c>
      <c r="AT17" s="66">
        <v>0</v>
      </c>
      <c r="AU17" s="66">
        <v>0</v>
      </c>
      <c r="AV17" s="66">
        <v>0</v>
      </c>
      <c r="AW17" s="66">
        <v>0</v>
      </c>
      <c r="AX17" s="66">
        <v>0</v>
      </c>
      <c r="AY17" s="66">
        <v>0</v>
      </c>
      <c r="AZ17" s="66">
        <v>0</v>
      </c>
      <c r="BA17" s="66">
        <v>0</v>
      </c>
      <c r="BB17" s="66">
        <v>0</v>
      </c>
      <c r="BC17" s="66">
        <v>0</v>
      </c>
      <c r="BD17" s="66">
        <v>0</v>
      </c>
      <c r="BE17" s="66">
        <v>0</v>
      </c>
      <c r="BF17" s="66">
        <v>0</v>
      </c>
      <c r="BG17" s="66">
        <v>0</v>
      </c>
      <c r="BH17" s="66">
        <v>0</v>
      </c>
      <c r="BI17" s="66">
        <v>0</v>
      </c>
      <c r="BJ17" s="66">
        <v>0</v>
      </c>
      <c r="BK17" s="66">
        <v>0</v>
      </c>
      <c r="BL17" s="66"/>
      <c r="BM17" s="66"/>
      <c r="BN17" s="66"/>
      <c r="BO17" s="66"/>
      <c r="BP17" s="66"/>
      <c r="BQ17" s="66"/>
      <c r="BR17" s="66"/>
      <c r="BS17" s="66"/>
      <c r="BT17" s="66"/>
      <c r="BU17" s="66"/>
      <c r="BV17" s="66"/>
      <c r="BW17" s="66"/>
      <c r="BX17" s="66"/>
      <c r="BY17" s="66"/>
      <c r="BZ17" s="66"/>
      <c r="CA17" s="66"/>
      <c r="CB17" s="66"/>
      <c r="CC17" s="66"/>
      <c r="CD17" s="66"/>
      <c r="CE17" s="66"/>
      <c r="CF17" s="66"/>
      <c r="CG17" s="66"/>
      <c r="CH17" s="66"/>
      <c r="CI17" s="66"/>
      <c r="CJ17" s="66"/>
    </row>
    <row r="18" spans="1:88" x14ac:dyDescent="0.25">
      <c r="B18" s="11" t="s">
        <v>175</v>
      </c>
      <c r="C18" s="66">
        <v>31784.551250294931</v>
      </c>
      <c r="D18" s="66">
        <v>32017.45291971551</v>
      </c>
      <c r="E18" s="66">
        <v>31632.05262442397</v>
      </c>
      <c r="F18" s="66">
        <v>31849.887016304299</v>
      </c>
      <c r="G18" s="66">
        <v>32658.656583697</v>
      </c>
      <c r="H18" s="66">
        <v>33038.0228741057</v>
      </c>
      <c r="I18" s="66">
        <v>33392.063286275588</v>
      </c>
      <c r="J18" s="66">
        <v>34190.404777119773</v>
      </c>
      <c r="K18" s="66">
        <v>33559.69990068044</v>
      </c>
      <c r="L18" s="66">
        <v>33640.369984376361</v>
      </c>
      <c r="M18" s="66">
        <v>34485.286321086467</v>
      </c>
      <c r="N18" s="66">
        <v>34871.331624227823</v>
      </c>
      <c r="O18" s="66">
        <v>34679.783293644628</v>
      </c>
      <c r="P18" s="66">
        <v>35008.218513231252</v>
      </c>
      <c r="Q18" s="66">
        <v>35041.383026241703</v>
      </c>
      <c r="R18" s="66">
        <v>35267.294682917804</v>
      </c>
      <c r="S18" s="66">
        <v>35257.439517867017</v>
      </c>
      <c r="T18" s="66">
        <v>34413.578486340753</v>
      </c>
      <c r="U18" s="66">
        <v>33212.151857155739</v>
      </c>
      <c r="V18" s="66">
        <v>33240.400312580743</v>
      </c>
      <c r="W18" s="66">
        <v>33208.56332925988</v>
      </c>
      <c r="X18" s="66">
        <v>33467.746332910741</v>
      </c>
      <c r="Y18" s="66">
        <v>34054.129938749356</v>
      </c>
      <c r="Z18" s="66">
        <v>34167.363392956708</v>
      </c>
      <c r="AA18" s="66">
        <v>34426.280766045558</v>
      </c>
      <c r="AB18" s="66">
        <v>33910.522020165459</v>
      </c>
      <c r="AC18" s="66">
        <v>33525.571486912857</v>
      </c>
      <c r="AD18" s="66">
        <v>33476.45123409979</v>
      </c>
      <c r="AE18" s="66">
        <v>33607.068116830393</v>
      </c>
      <c r="AF18" s="66">
        <v>33663.581542035703</v>
      </c>
      <c r="AG18" s="66">
        <v>32889.52880804165</v>
      </c>
      <c r="AH18" s="66">
        <v>32476.588604373039</v>
      </c>
      <c r="AI18" s="66">
        <v>32114.976452970011</v>
      </c>
      <c r="AJ18" s="66">
        <v>31729.474656242011</v>
      </c>
      <c r="AK18" s="66">
        <v>31322.749099121342</v>
      </c>
      <c r="AL18" s="66">
        <v>30901.999713702309</v>
      </c>
      <c r="AM18" s="66">
        <v>30593.96134527856</v>
      </c>
      <c r="AN18" s="66">
        <v>30277.970386923749</v>
      </c>
      <c r="AO18" s="66">
        <v>29959.071883947589</v>
      </c>
      <c r="AP18" s="66">
        <v>29635.68442483632</v>
      </c>
      <c r="AQ18" s="66">
        <v>29305.525801312611</v>
      </c>
      <c r="AR18" s="66">
        <v>29052.32352173145</v>
      </c>
      <c r="AS18" s="66">
        <v>28778.324603689449</v>
      </c>
      <c r="AT18" s="66">
        <v>28509.049304655458</v>
      </c>
      <c r="AU18" s="66">
        <v>28250.045937394651</v>
      </c>
      <c r="AV18" s="66">
        <v>27984.330161509381</v>
      </c>
      <c r="AW18" s="66">
        <v>27729.311193978199</v>
      </c>
      <c r="AX18" s="66">
        <v>27469.052937959521</v>
      </c>
      <c r="AY18" s="66">
        <v>27226.441530790191</v>
      </c>
      <c r="AZ18" s="66">
        <v>26971.613093703301</v>
      </c>
      <c r="BA18" s="66">
        <v>26732.860706306881</v>
      </c>
      <c r="BB18" s="66">
        <v>26563.462987186609</v>
      </c>
      <c r="BC18" s="66">
        <v>26386.98183562651</v>
      </c>
      <c r="BD18" s="66">
        <v>26229.4910955222</v>
      </c>
      <c r="BE18" s="66">
        <v>26063.714654891039</v>
      </c>
      <c r="BF18" s="66">
        <v>25900.826528887541</v>
      </c>
      <c r="BG18" s="66">
        <v>25740.210890835671</v>
      </c>
      <c r="BH18" s="66">
        <v>25585.378815162319</v>
      </c>
      <c r="BI18" s="66">
        <v>25429.36019120114</v>
      </c>
      <c r="BJ18" s="66">
        <v>25273.494008174279</v>
      </c>
      <c r="BK18" s="66">
        <v>25140.582203067232</v>
      </c>
      <c r="BL18" s="66"/>
      <c r="BM18" s="66"/>
      <c r="BN18" s="66"/>
      <c r="BO18" s="66"/>
      <c r="BP18" s="66"/>
      <c r="BQ18" s="66"/>
      <c r="BR18" s="66"/>
      <c r="BS18" s="66"/>
      <c r="BT18" s="66"/>
      <c r="BU18" s="66"/>
      <c r="BV18" s="66"/>
      <c r="BW18" s="66"/>
      <c r="BX18" s="66"/>
      <c r="BY18" s="66"/>
      <c r="BZ18" s="66"/>
      <c r="CA18" s="66"/>
      <c r="CB18" s="66"/>
      <c r="CC18" s="66"/>
      <c r="CD18" s="66"/>
      <c r="CE18" s="66"/>
      <c r="CF18" s="66"/>
      <c r="CG18" s="66"/>
      <c r="CH18" s="66"/>
      <c r="CI18" s="66"/>
      <c r="CJ18" s="66"/>
    </row>
    <row r="19" spans="1:88" x14ac:dyDescent="0.25">
      <c r="B19" s="11" t="s">
        <v>174</v>
      </c>
      <c r="C19" s="66">
        <v>31784.551250294931</v>
      </c>
      <c r="D19" s="66">
        <v>32017.45291971551</v>
      </c>
      <c r="E19" s="66">
        <v>31632.05262442397</v>
      </c>
      <c r="F19" s="66">
        <v>31849.887016304299</v>
      </c>
      <c r="G19" s="66">
        <v>32658.656583697</v>
      </c>
      <c r="H19" s="66">
        <v>33038.0228741057</v>
      </c>
      <c r="I19" s="66">
        <v>33392.063286275588</v>
      </c>
      <c r="J19" s="66">
        <v>34190.404777119773</v>
      </c>
      <c r="K19" s="66">
        <v>33559.69990068044</v>
      </c>
      <c r="L19" s="66">
        <v>33640.369984376361</v>
      </c>
      <c r="M19" s="66">
        <v>34485.286321086467</v>
      </c>
      <c r="N19" s="66">
        <v>34871.331624227823</v>
      </c>
      <c r="O19" s="66">
        <v>34679.783293644628</v>
      </c>
      <c r="P19" s="66">
        <v>35008.218513231252</v>
      </c>
      <c r="Q19" s="66">
        <v>35041.383026241703</v>
      </c>
      <c r="R19" s="66">
        <v>35267.294682917804</v>
      </c>
      <c r="S19" s="66">
        <v>35257.439517867017</v>
      </c>
      <c r="T19" s="66">
        <v>34413.578486340753</v>
      </c>
      <c r="U19" s="66">
        <v>33212.151857155739</v>
      </c>
      <c r="V19" s="66">
        <v>33240.400312580743</v>
      </c>
      <c r="W19" s="66">
        <v>33208.56332925988</v>
      </c>
      <c r="X19" s="66">
        <v>33467.746332910741</v>
      </c>
      <c r="Y19" s="66">
        <v>34054.129938749356</v>
      </c>
      <c r="Z19" s="66">
        <v>34167.363392956708</v>
      </c>
      <c r="AA19" s="66">
        <v>34426.280766045558</v>
      </c>
      <c r="AB19" s="66">
        <v>33910.522020165459</v>
      </c>
      <c r="AC19" s="66">
        <v>33525.571486912857</v>
      </c>
      <c r="AD19" s="66">
        <v>33476.45123409979</v>
      </c>
      <c r="AE19" s="66">
        <v>33607.068116830393</v>
      </c>
      <c r="AF19" s="66">
        <v>33663.581542035703</v>
      </c>
      <c r="AG19" s="66">
        <v>32889.52880804165</v>
      </c>
      <c r="AH19" s="66">
        <v>32476.588604373039</v>
      </c>
      <c r="AI19" s="66">
        <v>32114.976452970011</v>
      </c>
      <c r="AJ19" s="66">
        <v>31729.474656242011</v>
      </c>
      <c r="AK19" s="66">
        <v>31322.749099121342</v>
      </c>
      <c r="AL19" s="66">
        <v>30901.999713702309</v>
      </c>
      <c r="AM19" s="66">
        <v>30593.96134527856</v>
      </c>
      <c r="AN19" s="66">
        <v>30277.970386923749</v>
      </c>
      <c r="AO19" s="66">
        <v>29959.071883947589</v>
      </c>
      <c r="AP19" s="66">
        <v>29635.68442483632</v>
      </c>
      <c r="AQ19" s="66">
        <v>29305.525801312611</v>
      </c>
      <c r="AR19" s="66">
        <v>29052.32352173145</v>
      </c>
      <c r="AS19" s="66">
        <v>28778.324603689449</v>
      </c>
      <c r="AT19" s="66">
        <v>28509.049304655458</v>
      </c>
      <c r="AU19" s="66">
        <v>28250.045937394651</v>
      </c>
      <c r="AV19" s="66">
        <v>27984.330161509381</v>
      </c>
      <c r="AW19" s="66">
        <v>27729.311193978199</v>
      </c>
      <c r="AX19" s="66">
        <v>27469.052937959521</v>
      </c>
      <c r="AY19" s="66">
        <v>27226.441530790191</v>
      </c>
      <c r="AZ19" s="66">
        <v>26971.613093703301</v>
      </c>
      <c r="BA19" s="66">
        <v>26732.860706306881</v>
      </c>
      <c r="BB19" s="66">
        <v>26563.462987186609</v>
      </c>
      <c r="BC19" s="66">
        <v>26386.98183562651</v>
      </c>
      <c r="BD19" s="66">
        <v>26229.4910955222</v>
      </c>
      <c r="BE19" s="66">
        <v>26063.714654891039</v>
      </c>
      <c r="BF19" s="66">
        <v>25900.826528887541</v>
      </c>
      <c r="BG19" s="66">
        <v>25740.210890835671</v>
      </c>
      <c r="BH19" s="66">
        <v>25585.378815162319</v>
      </c>
      <c r="BI19" s="66">
        <v>25429.36019120114</v>
      </c>
      <c r="BJ19" s="66">
        <v>25273.494008174279</v>
      </c>
      <c r="BK19" s="66">
        <v>25140.582203067232</v>
      </c>
      <c r="BL19" s="66"/>
      <c r="BM19" s="66"/>
      <c r="BN19" s="66"/>
      <c r="BO19" s="66"/>
      <c r="BP19" s="66"/>
      <c r="BQ19" s="66"/>
      <c r="BR19" s="66"/>
      <c r="BS19" s="66"/>
      <c r="BT19" s="66"/>
      <c r="BU19" s="66"/>
      <c r="BV19" s="66"/>
      <c r="BW19" s="66"/>
      <c r="BX19" s="66"/>
      <c r="BY19" s="66"/>
      <c r="BZ19" s="66"/>
      <c r="CA19" s="66"/>
      <c r="CB19" s="66"/>
      <c r="CC19" s="66"/>
      <c r="CD19" s="66"/>
      <c r="CE19" s="66"/>
      <c r="CF19" s="66"/>
      <c r="CG19" s="66"/>
      <c r="CH19" s="66"/>
      <c r="CI19" s="66"/>
      <c r="CJ19" s="66"/>
    </row>
    <row r="20" spans="1:88" x14ac:dyDescent="0.25">
      <c r="AQ20" s="11">
        <f>AQ19/AD19</f>
        <v>0.87540718089799829</v>
      </c>
    </row>
    <row r="21" spans="1:88" x14ac:dyDescent="0.25">
      <c r="A21" s="11" t="s">
        <v>182</v>
      </c>
      <c r="B21" s="11" t="s">
        <v>181</v>
      </c>
      <c r="C21" s="66">
        <v>8772.237679509617</v>
      </c>
      <c r="D21" s="66">
        <v>8767.2752630880786</v>
      </c>
      <c r="E21" s="66">
        <v>9144.4364512633001</v>
      </c>
      <c r="F21" s="66">
        <v>9608.6919084949586</v>
      </c>
      <c r="G21" s="66">
        <v>10284.24640548394</v>
      </c>
      <c r="H21" s="66">
        <v>10963.5811868091</v>
      </c>
      <c r="I21" s="66">
        <v>11105.827971935279</v>
      </c>
      <c r="J21" s="66">
        <v>11340.879408676319</v>
      </c>
      <c r="K21" s="66">
        <v>11560.848690715829</v>
      </c>
      <c r="L21" s="66">
        <v>11861.218239795449</v>
      </c>
      <c r="M21" s="66">
        <v>12425.078726604441</v>
      </c>
      <c r="N21" s="66">
        <v>12491.27817453937</v>
      </c>
      <c r="O21" s="66">
        <v>12958.92107536812</v>
      </c>
      <c r="P21" s="66">
        <v>13511.211706173201</v>
      </c>
      <c r="Q21" s="66">
        <v>13819.50856164403</v>
      </c>
      <c r="R21" s="66">
        <v>13901.431354259939</v>
      </c>
      <c r="S21" s="66">
        <v>14032.69533593376</v>
      </c>
      <c r="T21" s="66">
        <v>14147.48861768307</v>
      </c>
      <c r="U21" s="66">
        <v>14180.74981805429</v>
      </c>
      <c r="V21" s="66">
        <v>13995.876029315939</v>
      </c>
      <c r="W21" s="66">
        <v>14290.214748466929</v>
      </c>
      <c r="X21" s="66">
        <v>14292.042449893719</v>
      </c>
      <c r="Y21" s="66">
        <v>14019.361964273339</v>
      </c>
      <c r="Z21" s="66">
        <v>14088.703497843169</v>
      </c>
      <c r="AA21" s="66">
        <v>14356.621057612299</v>
      </c>
      <c r="AB21" s="66">
        <v>14852.62960557593</v>
      </c>
      <c r="AC21" s="66">
        <v>14978.119688518909</v>
      </c>
      <c r="AD21" s="66">
        <v>15883.998644606911</v>
      </c>
      <c r="AE21" s="66">
        <v>16215.892718847561</v>
      </c>
      <c r="AF21" s="66">
        <v>16207.59773663236</v>
      </c>
      <c r="AG21" s="66">
        <v>14504.543271174171</v>
      </c>
      <c r="AH21" s="66">
        <v>15495.051427994669</v>
      </c>
      <c r="AI21" s="66">
        <v>16312.88743173735</v>
      </c>
      <c r="AJ21" s="66">
        <v>16652.439115365869</v>
      </c>
      <c r="AK21" s="66">
        <v>16554.763246425129</v>
      </c>
      <c r="AL21" s="66">
        <v>16410.006811729691</v>
      </c>
      <c r="AM21" s="66">
        <v>16130.699702919361</v>
      </c>
      <c r="AN21" s="66">
        <v>15823.14473345481</v>
      </c>
      <c r="AO21" s="66">
        <v>15359.24066944687</v>
      </c>
      <c r="AP21" s="66">
        <v>14753.571779722541</v>
      </c>
      <c r="AQ21" s="66">
        <v>14029.886986743601</v>
      </c>
      <c r="AR21" s="66">
        <v>13195.57663003103</v>
      </c>
      <c r="AS21" s="66">
        <v>12328.34609541942</v>
      </c>
      <c r="AT21" s="66">
        <v>11369.870469050709</v>
      </c>
      <c r="AU21" s="66">
        <v>10437.731931728351</v>
      </c>
      <c r="AV21" s="66">
        <v>9534.5461560903295</v>
      </c>
      <c r="AW21" s="66">
        <v>8651.6669385159566</v>
      </c>
      <c r="AX21" s="66">
        <v>7847.4299266200896</v>
      </c>
      <c r="AY21" s="66">
        <v>6975.3713056920824</v>
      </c>
      <c r="AZ21" s="66">
        <v>6240.9517813428874</v>
      </c>
      <c r="BA21" s="66">
        <v>5592.1351115975376</v>
      </c>
      <c r="BB21" s="66">
        <v>5032.1816526847206</v>
      </c>
      <c r="BC21" s="66">
        <v>4459.2929702311367</v>
      </c>
      <c r="BD21" s="66">
        <v>3949.5554134852259</v>
      </c>
      <c r="BE21" s="66">
        <v>3443.0825244998982</v>
      </c>
      <c r="BF21" s="66">
        <v>3017.7189778378738</v>
      </c>
      <c r="BG21" s="66">
        <v>2619.3546257242988</v>
      </c>
      <c r="BH21" s="66">
        <v>2272.2405123132112</v>
      </c>
      <c r="BI21" s="66">
        <v>1958.824223696095</v>
      </c>
      <c r="BJ21" s="66">
        <v>1696.7806619054011</v>
      </c>
      <c r="BK21" s="66">
        <v>1461.775892641268</v>
      </c>
      <c r="BL21" s="66"/>
      <c r="BM21" s="66"/>
      <c r="BN21" s="66"/>
      <c r="BO21" s="66"/>
      <c r="BP21" s="66"/>
      <c r="BQ21" s="66"/>
      <c r="BR21" s="66"/>
      <c r="BS21" s="66"/>
      <c r="BT21" s="66"/>
      <c r="BU21" s="66"/>
      <c r="BV21" s="66"/>
      <c r="BW21" s="66"/>
      <c r="BX21" s="66"/>
      <c r="BY21" s="66"/>
      <c r="BZ21" s="66"/>
      <c r="CA21" s="66"/>
      <c r="CB21" s="66"/>
      <c r="CC21" s="66"/>
      <c r="CD21" s="66"/>
      <c r="CE21" s="66"/>
      <c r="CF21" s="66"/>
      <c r="CG21" s="66"/>
      <c r="CH21" s="66"/>
      <c r="CI21" s="66"/>
      <c r="CJ21" s="66"/>
    </row>
    <row r="22" spans="1:88" x14ac:dyDescent="0.25">
      <c r="B22" s="11" t="s">
        <v>180</v>
      </c>
      <c r="C22" s="66">
        <v>14972.28581319526</v>
      </c>
      <c r="D22" s="66">
        <v>15358.83105968143</v>
      </c>
      <c r="E22" s="66">
        <v>16828.009577396409</v>
      </c>
      <c r="F22" s="66">
        <v>15789.29746872414</v>
      </c>
      <c r="G22" s="66">
        <v>15398.598771788</v>
      </c>
      <c r="H22" s="66">
        <v>14705.2067950775</v>
      </c>
      <c r="I22" s="66">
        <v>16043.10418271788</v>
      </c>
      <c r="J22" s="66">
        <v>17718.93491909725</v>
      </c>
      <c r="K22" s="66">
        <v>15971.20490640322</v>
      </c>
      <c r="L22" s="66">
        <v>17115.533735130699</v>
      </c>
      <c r="M22" s="66">
        <v>17354.36062749301</v>
      </c>
      <c r="N22" s="66">
        <v>19299.499745137371</v>
      </c>
      <c r="O22" s="66">
        <v>18852.477888087731</v>
      </c>
      <c r="P22" s="66">
        <v>19716.251860786091</v>
      </c>
      <c r="Q22" s="66">
        <v>19026.297046572781</v>
      </c>
      <c r="R22" s="66">
        <v>20412.54393541687</v>
      </c>
      <c r="S22" s="66">
        <v>20565.127558370579</v>
      </c>
      <c r="T22" s="66">
        <v>19157.885034476851</v>
      </c>
      <c r="U22" s="66">
        <v>20577.994791316061</v>
      </c>
      <c r="V22" s="66">
        <v>18076.653963182089</v>
      </c>
      <c r="W22" s="66">
        <v>17767.289656517849</v>
      </c>
      <c r="X22" s="66">
        <v>17008.13219754996</v>
      </c>
      <c r="Y22" s="66">
        <v>18797.165368663609</v>
      </c>
      <c r="Z22" s="66">
        <v>17937.19799111149</v>
      </c>
      <c r="AA22" s="66">
        <v>17767.466481148851</v>
      </c>
      <c r="AB22" s="66">
        <v>17675.198871578301</v>
      </c>
      <c r="AC22" s="66">
        <v>16062.283064617181</v>
      </c>
      <c r="AD22" s="66">
        <v>16716.488652812401</v>
      </c>
      <c r="AE22" s="66">
        <v>16336.02575134769</v>
      </c>
      <c r="AF22" s="66">
        <v>18055.453356820901</v>
      </c>
      <c r="AG22" s="66">
        <v>18538.236077285401</v>
      </c>
      <c r="AH22" s="66">
        <v>16790.47862155503</v>
      </c>
      <c r="AI22" s="66">
        <v>16190.76975562975</v>
      </c>
      <c r="AJ22" s="66">
        <v>14851.40759580576</v>
      </c>
      <c r="AK22" s="66">
        <v>14104.13135066289</v>
      </c>
      <c r="AL22" s="66">
        <v>12229.51852339867</v>
      </c>
      <c r="AM22" s="66">
        <v>12246.192864376701</v>
      </c>
      <c r="AN22" s="66">
        <v>12215.74010812736</v>
      </c>
      <c r="AO22" s="66">
        <v>11977.03713938385</v>
      </c>
      <c r="AP22" s="66">
        <v>11684.9329497416</v>
      </c>
      <c r="AQ22" s="66">
        <v>10793.71388964075</v>
      </c>
      <c r="AR22" s="66">
        <v>10473.65792514537</v>
      </c>
      <c r="AS22" s="66">
        <v>10162.007097246829</v>
      </c>
      <c r="AT22" s="66">
        <v>9916.2304044629727</v>
      </c>
      <c r="AU22" s="66">
        <v>9632.0070757320427</v>
      </c>
      <c r="AV22" s="66">
        <v>9329.2649056668834</v>
      </c>
      <c r="AW22" s="66">
        <v>9011.4265177352772</v>
      </c>
      <c r="AX22" s="66">
        <v>8694.9096517556682</v>
      </c>
      <c r="AY22" s="66">
        <v>8334.9638135862424</v>
      </c>
      <c r="AZ22" s="66">
        <v>7909.1589027499977</v>
      </c>
      <c r="BA22" s="66">
        <v>7007.6782249775661</v>
      </c>
      <c r="BB22" s="66">
        <v>6690.3691464419007</v>
      </c>
      <c r="BC22" s="66">
        <v>6313.830596965332</v>
      </c>
      <c r="BD22" s="66">
        <v>5989.8807731313973</v>
      </c>
      <c r="BE22" s="66">
        <v>5648.5531725816199</v>
      </c>
      <c r="BF22" s="66">
        <v>5327.1710518688797</v>
      </c>
      <c r="BG22" s="66">
        <v>4933.4783415356151</v>
      </c>
      <c r="BH22" s="66">
        <v>4631.4592253795636</v>
      </c>
      <c r="BI22" s="66">
        <v>4405.1691351295904</v>
      </c>
      <c r="BJ22" s="66">
        <v>4088.7108441696828</v>
      </c>
      <c r="BK22" s="66">
        <v>3734.8936955066461</v>
      </c>
      <c r="BL22" s="66"/>
      <c r="BM22" s="66"/>
      <c r="BN22" s="66"/>
      <c r="BO22" s="66"/>
      <c r="BP22" s="66"/>
      <c r="BQ22" s="66"/>
      <c r="BR22" s="66"/>
      <c r="BS22" s="66"/>
      <c r="BT22" s="66"/>
      <c r="BU22" s="66"/>
      <c r="BV22" s="66"/>
      <c r="BW22" s="66"/>
      <c r="BX22" s="66"/>
      <c r="BY22" s="66"/>
      <c r="BZ22" s="66"/>
      <c r="CA22" s="66"/>
      <c r="CB22" s="66"/>
      <c r="CC22" s="66"/>
      <c r="CD22" s="66"/>
      <c r="CE22" s="66"/>
      <c r="CF22" s="66"/>
      <c r="CG22" s="66"/>
      <c r="CH22" s="66"/>
      <c r="CI22" s="66"/>
      <c r="CJ22" s="66"/>
    </row>
    <row r="23" spans="1:88" x14ac:dyDescent="0.25">
      <c r="B23" s="11" t="s">
        <v>179</v>
      </c>
      <c r="C23" s="66">
        <v>3579.9241346438948</v>
      </c>
      <c r="D23" s="66">
        <v>3728.6111222987829</v>
      </c>
      <c r="E23" s="66">
        <v>3374.0926125681872</v>
      </c>
      <c r="F23" s="66">
        <v>3213.46424400559</v>
      </c>
      <c r="G23" s="66">
        <v>3082.8039477327038</v>
      </c>
      <c r="H23" s="66">
        <v>3174.431966103547</v>
      </c>
      <c r="I23" s="66">
        <v>3374.1291486420491</v>
      </c>
      <c r="J23" s="66">
        <v>3234.7668142669222</v>
      </c>
      <c r="K23" s="66">
        <v>3261.322727829941</v>
      </c>
      <c r="L23" s="66">
        <v>3398.6403172224541</v>
      </c>
      <c r="M23" s="66">
        <v>3443.2215068220412</v>
      </c>
      <c r="N23" s="66">
        <v>3558.481017277556</v>
      </c>
      <c r="O23" s="66">
        <v>3680.4558967406151</v>
      </c>
      <c r="P23" s="66">
        <v>3916.5350179642091</v>
      </c>
      <c r="Q23" s="66">
        <v>3952.997270519284</v>
      </c>
      <c r="R23" s="66">
        <v>4061.6484302342869</v>
      </c>
      <c r="S23" s="66">
        <v>4171.1765319764372</v>
      </c>
      <c r="T23" s="66">
        <v>4420.9728580868059</v>
      </c>
      <c r="U23" s="66">
        <v>4320.1106227639484</v>
      </c>
      <c r="V23" s="66">
        <v>4193.1815124439063</v>
      </c>
      <c r="W23" s="66">
        <v>4543.7084841158439</v>
      </c>
      <c r="X23" s="66">
        <v>4632.1515876130061</v>
      </c>
      <c r="Y23" s="66">
        <v>4672.9275485600028</v>
      </c>
      <c r="Z23" s="66">
        <v>4819.442430217081</v>
      </c>
      <c r="AA23" s="66">
        <v>4987.2835293870512</v>
      </c>
      <c r="AB23" s="66">
        <v>5189.6507094176031</v>
      </c>
      <c r="AC23" s="66">
        <v>5037.5346044766484</v>
      </c>
      <c r="AD23" s="66">
        <v>5136.0643293733483</v>
      </c>
      <c r="AE23" s="66">
        <v>5186.9128282624524</v>
      </c>
      <c r="AF23" s="66">
        <v>5115.9066787428146</v>
      </c>
      <c r="AG23" s="66">
        <v>5101.7033179749506</v>
      </c>
      <c r="AH23" s="66">
        <v>5097.6975129639677</v>
      </c>
      <c r="AI23" s="66">
        <v>5141.2126182489847</v>
      </c>
      <c r="AJ23" s="66">
        <v>5050.4918794341393</v>
      </c>
      <c r="AK23" s="66">
        <v>5094.2307184893853</v>
      </c>
      <c r="AL23" s="66">
        <v>4431.5505762560497</v>
      </c>
      <c r="AM23" s="66">
        <v>4422.0820766854467</v>
      </c>
      <c r="AN23" s="66">
        <v>4374.2129828425104</v>
      </c>
      <c r="AO23" s="66">
        <v>4332.880749931297</v>
      </c>
      <c r="AP23" s="66">
        <v>4314.4175791655371</v>
      </c>
      <c r="AQ23" s="66">
        <v>4073.3355815479908</v>
      </c>
      <c r="AR23" s="66">
        <v>4033.9396023743539</v>
      </c>
      <c r="AS23" s="66">
        <v>3997.6514766797009</v>
      </c>
      <c r="AT23" s="66">
        <v>3950.648244338533</v>
      </c>
      <c r="AU23" s="66">
        <v>3911.7022409316178</v>
      </c>
      <c r="AV23" s="66">
        <v>3910.3454629919338</v>
      </c>
      <c r="AW23" s="66">
        <v>3872.591810977121</v>
      </c>
      <c r="AX23" s="66">
        <v>3853.120722784111</v>
      </c>
      <c r="AY23" s="66">
        <v>3835.998989182528</v>
      </c>
      <c r="AZ23" s="66">
        <v>3817.508368163516</v>
      </c>
      <c r="BA23" s="66">
        <v>3753.1216049103391</v>
      </c>
      <c r="BB23" s="66">
        <v>3737.8183349843989</v>
      </c>
      <c r="BC23" s="66">
        <v>3725.1390599890478</v>
      </c>
      <c r="BD23" s="66">
        <v>3718.6892835925528</v>
      </c>
      <c r="BE23" s="66">
        <v>3715.6668060373049</v>
      </c>
      <c r="BF23" s="66">
        <v>3715.8043033238419</v>
      </c>
      <c r="BG23" s="66">
        <v>3719.6621584318982</v>
      </c>
      <c r="BH23" s="66">
        <v>3726.7893451879941</v>
      </c>
      <c r="BI23" s="66">
        <v>3735.3288113887838</v>
      </c>
      <c r="BJ23" s="66">
        <v>3745.5031391962239</v>
      </c>
      <c r="BK23" s="66">
        <v>3758.870146480273</v>
      </c>
      <c r="BL23" s="66"/>
      <c r="BM23" s="66"/>
      <c r="BN23" s="66"/>
      <c r="BO23" s="66"/>
      <c r="BP23" s="66"/>
      <c r="BQ23" s="66"/>
      <c r="BR23" s="66"/>
      <c r="BS23" s="66"/>
      <c r="BT23" s="66"/>
      <c r="BU23" s="66"/>
      <c r="BV23" s="66"/>
      <c r="BW23" s="66"/>
      <c r="BX23" s="66"/>
      <c r="BY23" s="66"/>
      <c r="BZ23" s="66"/>
      <c r="CA23" s="66"/>
      <c r="CB23" s="66"/>
      <c r="CC23" s="66"/>
      <c r="CD23" s="66"/>
      <c r="CE23" s="66"/>
      <c r="CF23" s="66"/>
      <c r="CG23" s="66"/>
      <c r="CH23" s="66"/>
      <c r="CI23" s="66"/>
      <c r="CJ23" s="66"/>
    </row>
    <row r="24" spans="1:88" x14ac:dyDescent="0.25">
      <c r="B24" s="11" t="s">
        <v>178</v>
      </c>
      <c r="C24" s="66">
        <v>5744.7592317725976</v>
      </c>
      <c r="D24" s="66">
        <v>5856.0878986574498</v>
      </c>
      <c r="E24" s="66">
        <v>5898.6884738307926</v>
      </c>
      <c r="F24" s="66">
        <v>6171.6754300538123</v>
      </c>
      <c r="G24" s="66">
        <v>6454.6555040250969</v>
      </c>
      <c r="H24" s="66">
        <v>6775.4945017800201</v>
      </c>
      <c r="I24" s="66">
        <v>6806.5810400139453</v>
      </c>
      <c r="J24" s="66">
        <v>6920.7614203250232</v>
      </c>
      <c r="K24" s="66">
        <v>6940.0849382602428</v>
      </c>
      <c r="L24" s="66">
        <v>7062.7239175601462</v>
      </c>
      <c r="M24" s="66">
        <v>7407.3881576103704</v>
      </c>
      <c r="N24" s="66">
        <v>7893.1172932969239</v>
      </c>
      <c r="O24" s="66">
        <v>8131.9031407661569</v>
      </c>
      <c r="P24" s="66">
        <v>8329.4897015625538</v>
      </c>
      <c r="Q24" s="66">
        <v>8454.249954592764</v>
      </c>
      <c r="R24" s="66">
        <v>8593.3358543306713</v>
      </c>
      <c r="S24" s="66">
        <v>8242.309645322166</v>
      </c>
      <c r="T24" s="66">
        <v>8136.2797292921196</v>
      </c>
      <c r="U24" s="66">
        <v>8073.0289576329051</v>
      </c>
      <c r="V24" s="66">
        <v>8135.3597163781087</v>
      </c>
      <c r="W24" s="66">
        <v>8262.593799789458</v>
      </c>
      <c r="X24" s="66">
        <v>8506.408006498139</v>
      </c>
      <c r="Y24" s="66">
        <v>8657.6252970817113</v>
      </c>
      <c r="Z24" s="66">
        <v>8570.2534630401897</v>
      </c>
      <c r="AA24" s="66">
        <v>8887.2511163981071</v>
      </c>
      <c r="AB24" s="66">
        <v>8845.6587928075096</v>
      </c>
      <c r="AC24" s="66">
        <v>8818.2702357706657</v>
      </c>
      <c r="AD24" s="66">
        <v>8813.9957693549113</v>
      </c>
      <c r="AE24" s="66">
        <v>8976.5325499931278</v>
      </c>
      <c r="AF24" s="66">
        <v>9016.469681031238</v>
      </c>
      <c r="AG24" s="66">
        <v>8799.4769982237631</v>
      </c>
      <c r="AH24" s="66">
        <v>8721.4103243414611</v>
      </c>
      <c r="AI24" s="66">
        <v>8650.9896471993961</v>
      </c>
      <c r="AJ24" s="66">
        <v>8590.0667458995013</v>
      </c>
      <c r="AK24" s="66">
        <v>8523.7126203632761</v>
      </c>
      <c r="AL24" s="66">
        <v>8438.8640369302993</v>
      </c>
      <c r="AM24" s="66">
        <v>8350.3367036051859</v>
      </c>
      <c r="AN24" s="66">
        <v>8259.2102498352215</v>
      </c>
      <c r="AO24" s="66">
        <v>8169.5682197611059</v>
      </c>
      <c r="AP24" s="66">
        <v>8080.0313766213258</v>
      </c>
      <c r="AQ24" s="66">
        <v>7985.3054980992238</v>
      </c>
      <c r="AR24" s="66">
        <v>7895.6146497166164</v>
      </c>
      <c r="AS24" s="66">
        <v>7798.8446430954609</v>
      </c>
      <c r="AT24" s="66">
        <v>7704.5523759912394</v>
      </c>
      <c r="AU24" s="66">
        <v>7612.566613736195</v>
      </c>
      <c r="AV24" s="66">
        <v>7517.5444069164878</v>
      </c>
      <c r="AW24" s="66">
        <v>7426.1574126578853</v>
      </c>
      <c r="AX24" s="66">
        <v>7333.5114827795333</v>
      </c>
      <c r="AY24" s="66">
        <v>7246.4239961013809</v>
      </c>
      <c r="AZ24" s="66">
        <v>7154.3857447986957</v>
      </c>
      <c r="BA24" s="66">
        <v>7068.7794253752509</v>
      </c>
      <c r="BB24" s="66">
        <v>7011.4837193505009</v>
      </c>
      <c r="BC24" s="66">
        <v>6951.7564324259511</v>
      </c>
      <c r="BD24" s="66">
        <v>6897.905677977622</v>
      </c>
      <c r="BE24" s="66">
        <v>6840.8501005412654</v>
      </c>
      <c r="BF24" s="66">
        <v>6784.5317024221149</v>
      </c>
      <c r="BG24" s="66">
        <v>6728.2084422396911</v>
      </c>
      <c r="BH24" s="66">
        <v>6674.2953079044491</v>
      </c>
      <c r="BI24" s="66">
        <v>6619.4223929836007</v>
      </c>
      <c r="BJ24" s="66">
        <v>6556.2993156262346</v>
      </c>
      <c r="BK24" s="66">
        <v>6477.6185079930328</v>
      </c>
      <c r="BL24" s="66"/>
      <c r="BM24" s="66"/>
      <c r="BN24" s="66"/>
      <c r="BO24" s="66"/>
      <c r="BP24" s="66"/>
      <c r="BQ24" s="66"/>
      <c r="BR24" s="66"/>
      <c r="BS24" s="66"/>
      <c r="BT24" s="66"/>
      <c r="BU24" s="66"/>
      <c r="BV24" s="66"/>
      <c r="BW24" s="66"/>
      <c r="BX24" s="66"/>
      <c r="BY24" s="66"/>
      <c r="BZ24" s="66"/>
      <c r="CA24" s="66"/>
      <c r="CB24" s="66"/>
      <c r="CC24" s="66"/>
      <c r="CD24" s="66"/>
      <c r="CE24" s="66"/>
      <c r="CF24" s="66"/>
      <c r="CG24" s="66"/>
      <c r="CH24" s="66"/>
      <c r="CI24" s="66"/>
      <c r="CJ24" s="66"/>
    </row>
    <row r="25" spans="1:88" x14ac:dyDescent="0.25">
      <c r="B25" s="11" t="s">
        <v>177</v>
      </c>
      <c r="C25" s="66">
        <v>272.29607405313851</v>
      </c>
      <c r="D25" s="66">
        <v>273.79453490736933</v>
      </c>
      <c r="E25" s="66">
        <v>272.95819271139231</v>
      </c>
      <c r="F25" s="66">
        <v>277.21308470034728</v>
      </c>
      <c r="G25" s="66">
        <v>253.23806789538961</v>
      </c>
      <c r="H25" s="66">
        <v>253.24191541558781</v>
      </c>
      <c r="I25" s="66">
        <v>248.59100309597349</v>
      </c>
      <c r="J25" s="66">
        <v>260.16613289884663</v>
      </c>
      <c r="K25" s="66">
        <v>272.80914498107632</v>
      </c>
      <c r="L25" s="66">
        <v>284.49096880338487</v>
      </c>
      <c r="M25" s="66">
        <v>278.79764626680299</v>
      </c>
      <c r="N25" s="66">
        <v>269.05289231736612</v>
      </c>
      <c r="O25" s="66">
        <v>256.35306962124292</v>
      </c>
      <c r="P25" s="66">
        <v>248.3358085265663</v>
      </c>
      <c r="Q25" s="66">
        <v>250.30352663177109</v>
      </c>
      <c r="R25" s="66">
        <v>245.4234949784159</v>
      </c>
      <c r="S25" s="66">
        <v>245.18416236048921</v>
      </c>
      <c r="T25" s="66">
        <v>241.87185791753291</v>
      </c>
      <c r="U25" s="66">
        <v>236.90641125936509</v>
      </c>
      <c r="V25" s="66">
        <v>235.96379048784999</v>
      </c>
      <c r="W25" s="66">
        <v>239.51084245881071</v>
      </c>
      <c r="X25" s="66">
        <v>238.2071536215708</v>
      </c>
      <c r="Y25" s="66">
        <v>240.7938891735844</v>
      </c>
      <c r="Z25" s="66">
        <v>241.2846987733792</v>
      </c>
      <c r="AA25" s="66">
        <v>245.56844850670271</v>
      </c>
      <c r="AB25" s="66">
        <v>247.3459738264232</v>
      </c>
      <c r="AC25" s="66">
        <v>253.12906684186871</v>
      </c>
      <c r="AD25" s="66">
        <v>251.46164293069569</v>
      </c>
      <c r="AE25" s="66">
        <v>252.23371021907309</v>
      </c>
      <c r="AF25" s="66">
        <v>254.56273860185269</v>
      </c>
      <c r="AG25" s="66">
        <v>265.53575507086589</v>
      </c>
      <c r="AH25" s="66">
        <v>267.00272559408398</v>
      </c>
      <c r="AI25" s="66">
        <v>267.45669795384993</v>
      </c>
      <c r="AJ25" s="66">
        <v>267.9696643536131</v>
      </c>
      <c r="AK25" s="66">
        <v>268.46861695803642</v>
      </c>
      <c r="AL25" s="66">
        <v>268.99954498334858</v>
      </c>
      <c r="AM25" s="66">
        <v>269.50777488902759</v>
      </c>
      <c r="AN25" s="66">
        <v>270.01982137010958</v>
      </c>
      <c r="AO25" s="66">
        <v>270.52113501434218</v>
      </c>
      <c r="AP25" s="66">
        <v>270.99192537671661</v>
      </c>
      <c r="AQ25" s="66">
        <v>271.4309502264764</v>
      </c>
      <c r="AR25" s="66">
        <v>271.29694658102289</v>
      </c>
      <c r="AS25" s="66">
        <v>271.1292151807329</v>
      </c>
      <c r="AT25" s="66">
        <v>270.91367666718412</v>
      </c>
      <c r="AU25" s="66">
        <v>270.64726202316638</v>
      </c>
      <c r="AV25" s="66">
        <v>270.33666318870468</v>
      </c>
      <c r="AW25" s="66">
        <v>270.01608884507749</v>
      </c>
      <c r="AX25" s="66">
        <v>269.69165577533892</v>
      </c>
      <c r="AY25" s="66">
        <v>269.36655934522702</v>
      </c>
      <c r="AZ25" s="66">
        <v>269.03939193672699</v>
      </c>
      <c r="BA25" s="66">
        <v>268.71088479479891</v>
      </c>
      <c r="BB25" s="66">
        <v>268.38693207051671</v>
      </c>
      <c r="BC25" s="66">
        <v>268.06269716285652</v>
      </c>
      <c r="BD25" s="66">
        <v>267.74024647566648</v>
      </c>
      <c r="BE25" s="66">
        <v>267.41562629358992</v>
      </c>
      <c r="BF25" s="66">
        <v>267.09101267551341</v>
      </c>
      <c r="BG25" s="66">
        <v>266.76331603507202</v>
      </c>
      <c r="BH25" s="66">
        <v>266.42822418548121</v>
      </c>
      <c r="BI25" s="66">
        <v>266.09716285086478</v>
      </c>
      <c r="BJ25" s="66">
        <v>265.75953938754492</v>
      </c>
      <c r="BK25" s="66">
        <v>265.42582414283743</v>
      </c>
      <c r="BL25" s="66"/>
      <c r="BM25" s="66"/>
      <c r="BN25" s="66"/>
      <c r="BO25" s="66"/>
      <c r="BP25" s="66"/>
      <c r="BQ25" s="66"/>
      <c r="BR25" s="66"/>
      <c r="BS25" s="66"/>
      <c r="BT25" s="66"/>
      <c r="BU25" s="66"/>
      <c r="BV25" s="66"/>
      <c r="BW25" s="66"/>
      <c r="BX25" s="66"/>
      <c r="BY25" s="66"/>
      <c r="BZ25" s="66"/>
      <c r="CA25" s="66"/>
      <c r="CB25" s="66"/>
      <c r="CC25" s="66"/>
      <c r="CD25" s="66"/>
      <c r="CE25" s="66"/>
      <c r="CF25" s="66"/>
      <c r="CG25" s="66"/>
      <c r="CH25" s="66"/>
      <c r="CI25" s="66"/>
      <c r="CJ25" s="66"/>
    </row>
    <row r="26" spans="1:88" x14ac:dyDescent="0.25">
      <c r="B26" s="11" t="s">
        <v>176</v>
      </c>
      <c r="C26" s="66">
        <v>665.60775219532991</v>
      </c>
      <c r="D26" s="66">
        <v>676.96490913684556</v>
      </c>
      <c r="E26" s="66">
        <v>766.44383314418587</v>
      </c>
      <c r="F26" s="66">
        <v>815.65117372812551</v>
      </c>
      <c r="G26" s="66">
        <v>834.97323531826112</v>
      </c>
      <c r="H26" s="66">
        <v>552.58791030476755</v>
      </c>
      <c r="I26" s="66">
        <v>-184.88321335853809</v>
      </c>
      <c r="J26" s="66">
        <v>-1390.3944471489931</v>
      </c>
      <c r="K26" s="66">
        <v>-3377.9560506208309</v>
      </c>
      <c r="L26" s="66">
        <v>-6009.0610497527787</v>
      </c>
      <c r="M26" s="66">
        <v>-6106.9622169089553</v>
      </c>
      <c r="N26" s="66">
        <v>-8551.4312043525169</v>
      </c>
      <c r="O26" s="66">
        <v>-10633.94865603817</v>
      </c>
      <c r="P26" s="66">
        <v>-10084.70435127073</v>
      </c>
      <c r="Q26" s="66">
        <v>-7218.0099532420736</v>
      </c>
      <c r="R26" s="66">
        <v>-1950.784276649656</v>
      </c>
      <c r="S26" s="66">
        <v>685.43184862696637</v>
      </c>
      <c r="T26" s="66">
        <v>5943.1294763206406</v>
      </c>
      <c r="U26" s="66">
        <v>-13775.893910354789</v>
      </c>
      <c r="V26" s="66">
        <v>-11503.389537710091</v>
      </c>
      <c r="W26" s="66">
        <v>-12436.8036332096</v>
      </c>
      <c r="X26" s="66">
        <v>-13473.69962601804</v>
      </c>
      <c r="Y26" s="66">
        <v>-11701.17873528489</v>
      </c>
      <c r="Z26" s="66">
        <v>-8907.8645594351565</v>
      </c>
      <c r="AA26" s="66">
        <v>-12194.712173791409</v>
      </c>
      <c r="AB26" s="66">
        <v>-13202.520611804081</v>
      </c>
      <c r="AC26" s="66">
        <v>-14095.9646202599</v>
      </c>
      <c r="AD26" s="66">
        <v>-12383.44458105273</v>
      </c>
      <c r="AE26" s="66">
        <v>-10490.05519428377</v>
      </c>
      <c r="AF26" s="66">
        <v>-7390.2130984936066</v>
      </c>
      <c r="AG26" s="66">
        <v>-8567.5852885660443</v>
      </c>
      <c r="AH26" s="66">
        <v>-7347.1453135279316</v>
      </c>
      <c r="AI26" s="66">
        <v>-6951.0142275022081</v>
      </c>
      <c r="AJ26" s="66">
        <v>-6403.9768825271822</v>
      </c>
      <c r="AK26" s="66">
        <v>-6245.5469455662987</v>
      </c>
      <c r="AL26" s="66">
        <v>-6752.6624696278786</v>
      </c>
      <c r="AM26" s="66">
        <v>-8310.0193796885105</v>
      </c>
      <c r="AN26" s="66">
        <v>-9198.0459771852838</v>
      </c>
      <c r="AO26" s="66">
        <v>-10127.33269585983</v>
      </c>
      <c r="AP26" s="66">
        <v>-10925.39412427722</v>
      </c>
      <c r="AQ26" s="66">
        <v>-11624.715190833629</v>
      </c>
      <c r="AR26" s="66">
        <v>-12365.11737178775</v>
      </c>
      <c r="AS26" s="66">
        <v>-13111.500569178719</v>
      </c>
      <c r="AT26" s="66">
        <v>-13802.55089525901</v>
      </c>
      <c r="AU26" s="66">
        <v>-14423.356793805529</v>
      </c>
      <c r="AV26" s="66">
        <v>-15229.260394463059</v>
      </c>
      <c r="AW26" s="66">
        <v>-16302.3439804923</v>
      </c>
      <c r="AX26" s="66">
        <v>-17662.513229342319</v>
      </c>
      <c r="AY26" s="66">
        <v>-18663.01880982978</v>
      </c>
      <c r="AZ26" s="66">
        <v>-19644.286954478139</v>
      </c>
      <c r="BA26" s="66">
        <v>-20580.452117301818</v>
      </c>
      <c r="BB26" s="66">
        <v>-21267.44325626942</v>
      </c>
      <c r="BC26" s="66">
        <v>-21487.112727952732</v>
      </c>
      <c r="BD26" s="66">
        <v>-21565.738319610002</v>
      </c>
      <c r="BE26" s="66">
        <v>-21575.299469862941</v>
      </c>
      <c r="BF26" s="66">
        <v>-21587.195984068891</v>
      </c>
      <c r="BG26" s="66">
        <v>-21656.00036237709</v>
      </c>
      <c r="BH26" s="66">
        <v>-21693.86350988394</v>
      </c>
      <c r="BI26" s="66">
        <v>-21676.729276281869</v>
      </c>
      <c r="BJ26" s="66">
        <v>-21590.155141587311</v>
      </c>
      <c r="BK26" s="66">
        <v>-21434.481787676868</v>
      </c>
      <c r="BL26" s="66"/>
      <c r="BM26" s="66"/>
      <c r="BN26" s="66"/>
      <c r="BO26" s="66"/>
      <c r="BP26" s="66"/>
      <c r="BQ26" s="66"/>
      <c r="BR26" s="66"/>
      <c r="BS26" s="66"/>
      <c r="BT26" s="66"/>
      <c r="BU26" s="66"/>
      <c r="BV26" s="66"/>
      <c r="BW26" s="66"/>
      <c r="BX26" s="66"/>
      <c r="BY26" s="66"/>
      <c r="BZ26" s="66"/>
      <c r="CA26" s="66"/>
      <c r="CB26" s="66"/>
      <c r="CC26" s="66"/>
      <c r="CD26" s="66"/>
      <c r="CE26" s="66"/>
      <c r="CF26" s="66"/>
      <c r="CG26" s="66"/>
      <c r="CH26" s="66"/>
      <c r="CI26" s="66"/>
      <c r="CJ26" s="66"/>
    </row>
    <row r="27" spans="1:88" x14ac:dyDescent="0.25">
      <c r="B27" s="11" t="s">
        <v>175</v>
      </c>
      <c r="C27" s="66">
        <v>34007.110685369837</v>
      </c>
      <c r="D27" s="66">
        <v>34661.564787769952</v>
      </c>
      <c r="E27" s="66">
        <v>36284.629140914272</v>
      </c>
      <c r="F27" s="66">
        <v>35875.993309706981</v>
      </c>
      <c r="G27" s="66">
        <v>36308.51593224339</v>
      </c>
      <c r="H27" s="66">
        <v>36424.544275490523</v>
      </c>
      <c r="I27" s="66">
        <v>37393.350133046588</v>
      </c>
      <c r="J27" s="66">
        <v>38085.114248115358</v>
      </c>
      <c r="K27" s="66">
        <v>34628.314357569478</v>
      </c>
      <c r="L27" s="66">
        <v>33713.546128759357</v>
      </c>
      <c r="M27" s="66">
        <v>34801.8844478877</v>
      </c>
      <c r="N27" s="66">
        <v>34959.997918216082</v>
      </c>
      <c r="O27" s="66">
        <v>33246.162414545703</v>
      </c>
      <c r="P27" s="66">
        <v>35637.119743741889</v>
      </c>
      <c r="Q27" s="66">
        <v>38285.346406718563</v>
      </c>
      <c r="R27" s="66">
        <v>45263.598792570519</v>
      </c>
      <c r="S27" s="66">
        <v>47941.925082590402</v>
      </c>
      <c r="T27" s="66">
        <v>52047.627573777019</v>
      </c>
      <c r="U27" s="66">
        <v>33612.896690671769</v>
      </c>
      <c r="V27" s="66">
        <v>33133.645474097793</v>
      </c>
      <c r="W27" s="66">
        <v>32666.513898139288</v>
      </c>
      <c r="X27" s="66">
        <v>31203.241769158351</v>
      </c>
      <c r="Y27" s="66">
        <v>34686.695332467352</v>
      </c>
      <c r="Z27" s="66">
        <v>36749.017521550151</v>
      </c>
      <c r="AA27" s="66">
        <v>34049.478459261612</v>
      </c>
      <c r="AB27" s="66">
        <v>33607.963341401693</v>
      </c>
      <c r="AC27" s="66">
        <v>31053.372039965379</v>
      </c>
      <c r="AD27" s="66">
        <v>34418.564458025532</v>
      </c>
      <c r="AE27" s="66">
        <v>36477.542364386129</v>
      </c>
      <c r="AF27" s="66">
        <v>41259.777093335557</v>
      </c>
      <c r="AG27" s="66">
        <v>38641.910131163109</v>
      </c>
      <c r="AH27" s="66">
        <v>39024.495298921283</v>
      </c>
      <c r="AI27" s="66">
        <v>39612.301923267143</v>
      </c>
      <c r="AJ27" s="66">
        <v>39008.398118331701</v>
      </c>
      <c r="AK27" s="66">
        <v>38299.759607332417</v>
      </c>
      <c r="AL27" s="66">
        <v>35026.277023670184</v>
      </c>
      <c r="AM27" s="66">
        <v>33108.799742787203</v>
      </c>
      <c r="AN27" s="66">
        <v>31744.281918444722</v>
      </c>
      <c r="AO27" s="66">
        <v>29981.915217677641</v>
      </c>
      <c r="AP27" s="66">
        <v>28178.551486350509</v>
      </c>
      <c r="AQ27" s="66">
        <v>25528.9577154244</v>
      </c>
      <c r="AR27" s="66">
        <v>23504.968382060641</v>
      </c>
      <c r="AS27" s="66">
        <v>21446.477958443429</v>
      </c>
      <c r="AT27" s="66">
        <v>19409.66427525162</v>
      </c>
      <c r="AU27" s="66">
        <v>17441.298330345839</v>
      </c>
      <c r="AV27" s="66">
        <v>15332.777200391271</v>
      </c>
      <c r="AW27" s="66">
        <v>12929.514788239019</v>
      </c>
      <c r="AX27" s="66">
        <v>10336.15021037242</v>
      </c>
      <c r="AY27" s="66">
        <v>7999.1058540776794</v>
      </c>
      <c r="AZ27" s="66">
        <v>5746.7572345136796</v>
      </c>
      <c r="BA27" s="66">
        <v>3109.9731343536769</v>
      </c>
      <c r="BB27" s="66">
        <v>1472.7965292626141</v>
      </c>
      <c r="BC27" s="66">
        <v>230.96902882159341</v>
      </c>
      <c r="BD27" s="66">
        <v>-741.9669249475337</v>
      </c>
      <c r="BE27" s="66">
        <v>-1659.731239909263</v>
      </c>
      <c r="BF27" s="66">
        <v>-2474.878935940666</v>
      </c>
      <c r="BG27" s="66">
        <v>-3388.533478410518</v>
      </c>
      <c r="BH27" s="66">
        <v>-4122.650894913244</v>
      </c>
      <c r="BI27" s="66">
        <v>-4691.8875502329392</v>
      </c>
      <c r="BJ27" s="66">
        <v>-5237.1016413022189</v>
      </c>
      <c r="BK27" s="66">
        <v>-5735.8977209128152</v>
      </c>
      <c r="BL27" s="66"/>
      <c r="BM27" s="66"/>
      <c r="BN27" s="66"/>
      <c r="BO27" s="66"/>
      <c r="BP27" s="66"/>
      <c r="BQ27" s="66"/>
      <c r="BR27" s="66"/>
      <c r="BS27" s="66"/>
      <c r="BT27" s="66"/>
      <c r="BU27" s="66"/>
      <c r="BV27" s="66"/>
      <c r="BW27" s="66"/>
      <c r="BX27" s="66"/>
      <c r="BY27" s="66"/>
      <c r="BZ27" s="66"/>
      <c r="CA27" s="66"/>
      <c r="CB27" s="66"/>
      <c r="CC27" s="66"/>
      <c r="CD27" s="66"/>
      <c r="CE27" s="66"/>
      <c r="CF27" s="66"/>
      <c r="CG27" s="66"/>
      <c r="CH27" s="66"/>
      <c r="CI27" s="66"/>
      <c r="CJ27" s="66"/>
    </row>
    <row r="28" spans="1:88" x14ac:dyDescent="0.25">
      <c r="B28" s="11" t="s">
        <v>174</v>
      </c>
      <c r="C28" s="66">
        <v>33341.50293317451</v>
      </c>
      <c r="D28" s="66">
        <v>33984.599878633097</v>
      </c>
      <c r="E28" s="66">
        <v>35518.18530777008</v>
      </c>
      <c r="F28" s="66">
        <v>35060.342135978863</v>
      </c>
      <c r="G28" s="66">
        <v>35473.542696925128</v>
      </c>
      <c r="H28" s="66">
        <v>35871.956365185753</v>
      </c>
      <c r="I28" s="66">
        <v>37578.233346405133</v>
      </c>
      <c r="J28" s="66">
        <v>39475.508695264347</v>
      </c>
      <c r="K28" s="66">
        <v>38006.270408190307</v>
      </c>
      <c r="L28" s="66">
        <v>39722.607178512138</v>
      </c>
      <c r="M28" s="66">
        <v>40908.846664796663</v>
      </c>
      <c r="N28" s="66">
        <v>43511.429122568588</v>
      </c>
      <c r="O28" s="66">
        <v>43880.111070583873</v>
      </c>
      <c r="P28" s="66">
        <v>45721.82409501262</v>
      </c>
      <c r="Q28" s="66">
        <v>45503.356359960628</v>
      </c>
      <c r="R28" s="66">
        <v>47214.383069220166</v>
      </c>
      <c r="S28" s="66">
        <v>47256.493233963432</v>
      </c>
      <c r="T28" s="66">
        <v>46104.49809745638</v>
      </c>
      <c r="U28" s="66">
        <v>47388.790601026558</v>
      </c>
      <c r="V28" s="66">
        <v>44637.035011807893</v>
      </c>
      <c r="W28" s="66">
        <v>45103.31753134889</v>
      </c>
      <c r="X28" s="66">
        <v>44676.941395176393</v>
      </c>
      <c r="Y28" s="66">
        <v>46387.874067752236</v>
      </c>
      <c r="Z28" s="66">
        <v>45656.882080985313</v>
      </c>
      <c r="AA28" s="66">
        <v>46244.190633053018</v>
      </c>
      <c r="AB28" s="66">
        <v>46810.483953205767</v>
      </c>
      <c r="AC28" s="66">
        <v>45149.336660225272</v>
      </c>
      <c r="AD28" s="66">
        <v>46802.009039078257</v>
      </c>
      <c r="AE28" s="66">
        <v>46967.597558669899</v>
      </c>
      <c r="AF28" s="66">
        <v>48649.990191829173</v>
      </c>
      <c r="AG28" s="66">
        <v>47209.495419729152</v>
      </c>
      <c r="AH28" s="66">
        <v>46371.640612449213</v>
      </c>
      <c r="AI28" s="66">
        <v>46563.316150769337</v>
      </c>
      <c r="AJ28" s="66">
        <v>45412.375000858883</v>
      </c>
      <c r="AK28" s="66">
        <v>44545.306552898721</v>
      </c>
      <c r="AL28" s="66">
        <v>41778.939493298058</v>
      </c>
      <c r="AM28" s="66">
        <v>41418.819122475717</v>
      </c>
      <c r="AN28" s="66">
        <v>40942.327895630013</v>
      </c>
      <c r="AO28" s="66">
        <v>40109.247913537467</v>
      </c>
      <c r="AP28" s="66">
        <v>39103.945610627721</v>
      </c>
      <c r="AQ28" s="66">
        <v>37153.672906258027</v>
      </c>
      <c r="AR28" s="66">
        <v>35870.085753848391</v>
      </c>
      <c r="AS28" s="66">
        <v>34557.978527622137</v>
      </c>
      <c r="AT28" s="66">
        <v>33212.215170510637</v>
      </c>
      <c r="AU28" s="66">
        <v>31864.65512415137</v>
      </c>
      <c r="AV28" s="66">
        <v>30562.037594854341</v>
      </c>
      <c r="AW28" s="66">
        <v>29231.858768731319</v>
      </c>
      <c r="AX28" s="66">
        <v>27998.663439714739</v>
      </c>
      <c r="AY28" s="66">
        <v>26662.12466390746</v>
      </c>
      <c r="AZ28" s="66">
        <v>25391.044188991818</v>
      </c>
      <c r="BA28" s="66">
        <v>23690.425251655499</v>
      </c>
      <c r="BB28" s="66">
        <v>22740.239785532041</v>
      </c>
      <c r="BC28" s="66">
        <v>21718.081756774322</v>
      </c>
      <c r="BD28" s="66">
        <v>20823.771394662461</v>
      </c>
      <c r="BE28" s="66">
        <v>19915.568229953678</v>
      </c>
      <c r="BF28" s="66">
        <v>19112.317048128221</v>
      </c>
      <c r="BG28" s="66">
        <v>18267.466883966568</v>
      </c>
      <c r="BH28" s="66">
        <v>17571.2126149707</v>
      </c>
      <c r="BI28" s="66">
        <v>16984.84172604893</v>
      </c>
      <c r="BJ28" s="66">
        <v>16353.05350028509</v>
      </c>
      <c r="BK28" s="66">
        <v>15698.58406676406</v>
      </c>
      <c r="BL28" s="66"/>
      <c r="BM28" s="66"/>
      <c r="BN28" s="66"/>
      <c r="BO28" s="66"/>
      <c r="BP28" s="66"/>
      <c r="BQ28" s="66"/>
      <c r="BR28" s="66"/>
      <c r="BS28" s="66"/>
      <c r="BT28" s="66"/>
      <c r="BU28" s="66"/>
      <c r="BV28" s="66"/>
      <c r="BW28" s="66"/>
      <c r="BX28" s="66"/>
      <c r="BY28" s="66"/>
      <c r="BZ28" s="66"/>
      <c r="CA28" s="66"/>
      <c r="CB28" s="66"/>
      <c r="CC28" s="66"/>
      <c r="CD28" s="66"/>
      <c r="CE28" s="66"/>
      <c r="CF28" s="66"/>
      <c r="CG28" s="66"/>
      <c r="CH28" s="66"/>
      <c r="CI28" s="66"/>
      <c r="CJ28" s="66"/>
    </row>
    <row r="29" spans="1:88" x14ac:dyDescent="0.25">
      <c r="W29" s="66"/>
      <c r="X29" s="66"/>
      <c r="Y29" s="66"/>
      <c r="Z29" s="66"/>
      <c r="AA29" s="66"/>
      <c r="AB29" s="66"/>
      <c r="AC29" s="66"/>
      <c r="AD29" s="66"/>
      <c r="AE29" s="66"/>
      <c r="AF29" s="66"/>
      <c r="AG29" s="66"/>
      <c r="AH29" s="66"/>
      <c r="AI29" s="66"/>
      <c r="AJ29" s="66"/>
      <c r="AK29" s="66"/>
      <c r="AL29" s="66"/>
      <c r="AM29" s="66"/>
      <c r="AN29" s="66"/>
      <c r="AO29" s="66"/>
      <c r="AP29" s="66"/>
      <c r="AQ29" s="66"/>
      <c r="AR29" s="66"/>
      <c r="AS29" s="66"/>
      <c r="AT29" s="66"/>
      <c r="AU29" s="66"/>
      <c r="AV29" s="66"/>
    </row>
    <row r="30" spans="1:88" x14ac:dyDescent="0.25">
      <c r="W30" s="66"/>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BA30" s="79"/>
    </row>
    <row r="31" spans="1:88" x14ac:dyDescent="0.25">
      <c r="AQ31" s="6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ord" ma:contentTypeID="0x010100FC40A03624D64143884E6213E5F3CCAE006A1BE56954B71E4AA7C596A81C178FC1" ma:contentTypeVersion="41" ma:contentTypeDescription="Create a new document." ma:contentTypeScope="" ma:versionID="ff1c578449900daf0c8197ec0aa8987c">
  <xsd:schema xmlns:xsd="http://www.w3.org/2001/XMLSchema" xmlns:xs="http://www.w3.org/2001/XMLSchema" xmlns:p="http://schemas.microsoft.com/office/2006/metadata/properties" xmlns:ns2="02bffcbe-7cf8-467d-a91b-a3e0dbcae01e" xmlns:ns3="a9df0e0e-9b5b-47bc-81c1-d190dfb54f87" xmlns:ns4="70761194-623b-4751-a0da-29ad6551f95e" xmlns:ns5="211ccad8-b333-499a-9bb0-6589cdb357fb" xmlns:ns6="f12a4863-2e7e-439e-ac91-f44950423e7e" targetNamespace="http://schemas.microsoft.com/office/2006/metadata/properties" ma:root="true" ma:fieldsID="8afd0fd2c1e32644bfe76f3291bc5241" ns2:_="" ns3:_="" ns4:_="" ns5:_="" ns6:_="">
    <xsd:import namespace="02bffcbe-7cf8-467d-a91b-a3e0dbcae01e"/>
    <xsd:import namespace="a9df0e0e-9b5b-47bc-81c1-d190dfb54f87"/>
    <xsd:import namespace="70761194-623b-4751-a0da-29ad6551f95e"/>
    <xsd:import namespace="211ccad8-b333-499a-9bb0-6589cdb357fb"/>
    <xsd:import namespace="f12a4863-2e7e-439e-ac91-f44950423e7e"/>
    <xsd:element name="properties">
      <xsd:complexType>
        <xsd:sequence>
          <xsd:element name="documentManagement">
            <xsd:complexType>
              <xsd:all>
                <xsd:element ref="ns2:DocumentType" minOccurs="0"/>
                <xsd:element ref="ns3:Narrative" minOccurs="0"/>
                <xsd:element ref="ns4:PRAType" minOccurs="0"/>
                <xsd:element ref="ns3:AggregationStatus" minOccurs="0"/>
                <xsd:element ref="ns3:PraText1" minOccurs="0"/>
                <xsd:element ref="ns3:PraText2" minOccurs="0"/>
                <xsd:element ref="ns3:PraText3" minOccurs="0"/>
                <xsd:element ref="ns3:PraText4" minOccurs="0"/>
                <xsd:element ref="ns3:PraText5" minOccurs="0"/>
                <xsd:element ref="ns3:PraDate1" minOccurs="0"/>
                <xsd:element ref="ns3:PraDate2" minOccurs="0"/>
                <xsd:element ref="ns3:PraDate3" minOccurs="0"/>
                <xsd:element ref="ns3:PraDateTrigger" minOccurs="0"/>
                <xsd:element ref="ns3:PraDateDisposal" minOccurs="0"/>
                <xsd:element ref="ns4:Activity" minOccurs="0"/>
                <xsd:element ref="ns4:Function" minOccurs="0"/>
                <xsd:element ref="ns4:Subactivity" minOccurs="0"/>
                <xsd:element ref="ns4:Year" minOccurs="0"/>
                <xsd:element ref="ns4:Project" minOccurs="0"/>
                <xsd:element ref="ns4:AggregationNarrative" minOccurs="0"/>
                <xsd:element ref="ns4:Case" minOccurs="0"/>
                <xsd:element ref="ns4:CategoryName" minOccurs="0"/>
                <xsd:element ref="ns4:CategoryValue" minOccurs="0"/>
                <xsd:element ref="ns5:MediaServiceMetadata" minOccurs="0"/>
                <xsd:element ref="ns5:MediaServiceFastMetadata" minOccurs="0"/>
                <xsd:element ref="ns5:MediaServiceAutoKeyPoints" minOccurs="0"/>
                <xsd:element ref="ns5:MediaServiceKeyPoints" minOccurs="0"/>
                <xsd:element ref="ns5:OTDocID" minOccurs="0"/>
                <xsd:element ref="ns5:OTModifiedBy" minOccurs="0"/>
                <xsd:element ref="ns5:OTCreatedBy" minOccurs="0"/>
                <xsd:element ref="ns5:LegacyMetadata" minOccurs="0"/>
                <xsd:element ref="ns6:SharedWithUsers" minOccurs="0"/>
                <xsd:element ref="ns6:SharedWithDetails" minOccurs="0"/>
                <xsd:element ref="ns5:MediaServiceDateTaken"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bffcbe-7cf8-467d-a91b-a3e0dbcae01e" elementFormDefault="qualified">
    <xsd:import namespace="http://schemas.microsoft.com/office/2006/documentManagement/types"/>
    <xsd:import namespace="http://schemas.microsoft.com/office/infopath/2007/PartnerControls"/>
    <xsd:element name="DocumentType" ma:index="8" nillable="true" ma:displayName="Document Type" ma:description="Specify the document type to help refine search and to classify the document" ma:format="Dropdown" ma:internalName="DocumentType" ma:readOnly="false">
      <xsd:simpleType>
        <xsd:restriction base="dms:Choice">
          <xsd:enumeration value="APPLICATION, certificate, consent related"/>
          <xsd:enumeration value="CONTRACT, Variation, Agreement"/>
          <xsd:enumeration value="CORRESPONDENCE, Memo, Filenote, Email"/>
          <xsd:enumeration value="DRAWING, Plan, Map"/>
          <xsd:enumeration value="EMPLOYMENT related"/>
          <xsd:enumeration value="FINANCIAL related"/>
          <xsd:enumeration value="KNOWLEDGE article"/>
          <xsd:enumeration value="MEETING related"/>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element>
  </xsd:schema>
  <xsd:schema xmlns:xsd="http://www.w3.org/2001/XMLSchema" xmlns:xs="http://www.w3.org/2001/XMLSchema" xmlns:dms="http://schemas.microsoft.com/office/2006/documentManagement/types" xmlns:pc="http://schemas.microsoft.com/office/infopath/2007/PartnerControls" targetNamespace="a9df0e0e-9b5b-47bc-81c1-d190dfb54f87" elementFormDefault="qualified">
    <xsd:import namespace="http://schemas.microsoft.com/office/2006/documentManagement/types"/>
    <xsd:import namespace="http://schemas.microsoft.com/office/infopath/2007/PartnerControls"/>
    <xsd:element name="Narrative" ma:index="9" nillable="true" ma:displayName="Narrative" ma:internalName="Narrative0" ma:readOnly="false">
      <xsd:simpleType>
        <xsd:restriction base="dms:Note">
          <xsd:maxLength value="255"/>
        </xsd:restriction>
      </xsd:simpleType>
    </xsd:element>
    <xsd:element name="AggregationStatus" ma:index="11" nillable="true" ma:displayName="Aggregation Status" ma:default="Normal" ma:format="Dropdown" ma:hidden="true" ma:internalName="AggregationStatus0" ma:readOnly="false">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restriction>
      </xsd:simpleType>
    </xsd:element>
    <xsd:element name="PraText1" ma:index="12" nillable="true" ma:displayName="PRA Text 1" ma:hidden="true" ma:internalName="PraText10" ma:readOnly="false">
      <xsd:simpleType>
        <xsd:restriction base="dms:Text">
          <xsd:maxLength value="255"/>
        </xsd:restriction>
      </xsd:simpleType>
    </xsd:element>
    <xsd:element name="PraText2" ma:index="13" nillable="true" ma:displayName="PRA Text 2" ma:hidden="true" ma:internalName="PraText20" ma:readOnly="false">
      <xsd:simpleType>
        <xsd:restriction base="dms:Text">
          <xsd:maxLength value="255"/>
        </xsd:restriction>
      </xsd:simpleType>
    </xsd:element>
    <xsd:element name="PraText3" ma:index="14" nillable="true" ma:displayName="PRA Text 3" ma:hidden="true" ma:internalName="PraText30" ma:readOnly="false">
      <xsd:simpleType>
        <xsd:restriction base="dms:Text">
          <xsd:maxLength value="255"/>
        </xsd:restriction>
      </xsd:simpleType>
    </xsd:element>
    <xsd:element name="PraText4" ma:index="15" nillable="true" ma:displayName="PRA Text 4" ma:hidden="true" ma:internalName="PraText40" ma:readOnly="false">
      <xsd:simpleType>
        <xsd:restriction base="dms:Text">
          <xsd:maxLength value="255"/>
        </xsd:restriction>
      </xsd:simpleType>
    </xsd:element>
    <xsd:element name="PraText5" ma:index="16" nillable="true" ma:displayName="PRA Text 5" ma:hidden="true" ma:internalName="PraText50" ma:readOnly="false">
      <xsd:simpleType>
        <xsd:restriction base="dms:Text">
          <xsd:maxLength value="255"/>
        </xsd:restriction>
      </xsd:simpleType>
    </xsd:element>
    <xsd:element name="PraDate1" ma:index="17" nillable="true" ma:displayName="PRA Date 1" ma:format="DateTime" ma:hidden="true" ma:internalName="PraDate1" ma:readOnly="false">
      <xsd:simpleType>
        <xsd:restriction base="dms:DateTime"/>
      </xsd:simpleType>
    </xsd:element>
    <xsd:element name="PraDate2" ma:index="18" nillable="true" ma:displayName="PRA Date 2" ma:format="DateTime" ma:hidden="true" ma:internalName="PraDate2" ma:readOnly="false">
      <xsd:simpleType>
        <xsd:restriction base="dms:DateTime"/>
      </xsd:simpleType>
    </xsd:element>
    <xsd:element name="PraDate3" ma:index="19" nillable="true" ma:displayName="PRA Date 3" ma:format="DateTime" ma:hidden="true" ma:internalName="PraDate3" ma:readOnly="false">
      <xsd:simpleType>
        <xsd:restriction base="dms:DateTime"/>
      </xsd:simpleType>
    </xsd:element>
    <xsd:element name="PraDateTrigger" ma:index="20" nillable="true" ma:displayName="PRA Date Trigger" ma:format="DateTime" ma:hidden="true" ma:internalName="PraDateTrigger" ma:readOnly="false">
      <xsd:simpleType>
        <xsd:restriction base="dms:DateTime"/>
      </xsd:simpleType>
    </xsd:element>
    <xsd:element name="PraDateDisposal" ma:index="21" nillable="true" ma:displayName="PRA Date Disposal" ma:format="DateTime" ma:hidden="true" ma:internalName="PraDateDisposal0" ma:readOnly="fals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70761194-623b-4751-a0da-29ad6551f95e" elementFormDefault="qualified">
    <xsd:import namespace="http://schemas.microsoft.com/office/2006/documentManagement/types"/>
    <xsd:import namespace="http://schemas.microsoft.com/office/infopath/2007/PartnerControls"/>
    <xsd:element name="PRAType" ma:index="10" nillable="true" ma:displayName="PRA Type" ma:hidden="true" ma:internalName="PRAType" ma:readOnly="false">
      <xsd:simpleType>
        <xsd:restriction base="dms:Text">
          <xsd:maxLength value="255"/>
        </xsd:restriction>
      </xsd:simpleType>
    </xsd:element>
    <xsd:element name="Activity" ma:index="22" nillable="true" ma:displayName="Activity" ma:description="Project Management" ma:internalName="Activity">
      <xsd:simpleType>
        <xsd:restriction base="dms:Text">
          <xsd:maxLength value="255"/>
        </xsd:restriction>
      </xsd:simpleType>
    </xsd:element>
    <xsd:element name="Function" ma:index="23" nillable="true" ma:displayName="Function" ma:default="Programmes and Projects" ma:format="Dropdown" ma:internalName="Function">
      <xsd:simpleType>
        <xsd:union memberTypes="dms:Text">
          <xsd:simpleType>
            <xsd:restriction base="dms:Choice">
              <xsd:enumeration value="Programmes and Projects"/>
            </xsd:restriction>
          </xsd:simpleType>
        </xsd:union>
      </xsd:simpleType>
    </xsd:element>
    <xsd:element name="Subactivity" ma:index="24" nillable="true" ma:displayName="Subactivity" ma:default="NA" ma:format="Dropdown" ma:hidden="true" ma:internalName="Subactivity" ma:readOnly="false">
      <xsd:simpleType>
        <xsd:union memberTypes="dms:Text">
          <xsd:simpleType>
            <xsd:restriction base="dms:Choice">
              <xsd:enumeration value="NA"/>
            </xsd:restriction>
          </xsd:simpleType>
        </xsd:union>
      </xsd:simpleType>
    </xsd:element>
    <xsd:element name="Year" ma:index="25" nillable="true" ma:displayName="Year" ma:format="Dropdown" ma:hidden="true" ma:internalName="Year" ma:readOnly="false">
      <xsd:simpleType>
        <xsd:restriction base="dms:Choice">
          <xsd:enumeration value="2019"/>
          <xsd:enumeration value="2020"/>
          <xsd:enumeration value="2021"/>
          <xsd:enumeration value="2022"/>
          <xsd:enumeration value="2023"/>
        </xsd:restriction>
      </xsd:simpleType>
    </xsd:element>
    <xsd:element name="Project" ma:index="26" nillable="true" ma:displayName="Project" ma:hidden="true" ma:internalName="Project" ma:readOnly="false">
      <xsd:simpleType>
        <xsd:restriction base="dms:Text">
          <xsd:maxLength value="255"/>
        </xsd:restriction>
      </xsd:simpleType>
    </xsd:element>
    <xsd:element name="AggregationNarrative" ma:index="27" nillable="true" ma:displayName="Aggregation Narrative" ma:hidden="true" ma:internalName="AggregationNarrative" ma:readOnly="false">
      <xsd:simpleType>
        <xsd:restriction base="dms:Text">
          <xsd:maxLength value="255"/>
        </xsd:restriction>
      </xsd:simpleType>
    </xsd:element>
    <xsd:element name="Case" ma:index="28" nillable="true" ma:displayName="Case" ma:default="Cross Cutting" ma:format="Dropdown" ma:internalName="Case">
      <xsd:simpleType>
        <xsd:restriction base="dms:Choice">
          <xsd:enumeration value="Cross Cutting"/>
        </xsd:restriction>
      </xsd:simpleType>
    </xsd:element>
    <xsd:element name="CategoryName" ma:index="29" nillable="true" ma:displayName="Category Name" ma:hidden="true" ma:internalName="CategoryName" ma:readOnly="false">
      <xsd:simpleType>
        <xsd:restriction base="dms:Text">
          <xsd:maxLength value="255"/>
        </xsd:restriction>
      </xsd:simpleType>
    </xsd:element>
    <xsd:element name="CategoryValue" ma:index="30" nillable="true" ma:displayName="Category Value" ma:hidden="true" ma:internalName="CategoryValu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11ccad8-b333-499a-9bb0-6589cdb357fb" elementFormDefault="qualified">
    <xsd:import namespace="http://schemas.microsoft.com/office/2006/documentManagement/types"/>
    <xsd:import namespace="http://schemas.microsoft.com/office/infopath/2007/PartnerControls"/>
    <xsd:element name="MediaServiceMetadata" ma:index="31" nillable="true" ma:displayName="MediaServiceMetadata" ma:hidden="true" ma:internalName="MediaServiceMetadata" ma:readOnly="true">
      <xsd:simpleType>
        <xsd:restriction base="dms:Note"/>
      </xsd:simpleType>
    </xsd:element>
    <xsd:element name="MediaServiceFastMetadata" ma:index="32" nillable="true" ma:displayName="MediaServiceFastMetadata" ma:hidden="true" ma:internalName="MediaServiceFastMetadata" ma:readOnly="true">
      <xsd:simpleType>
        <xsd:restriction base="dms:Note"/>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OTDocID" ma:index="35" nillable="true" ma:displayName="OTDocID" ma:format="Dropdown" ma:internalName="OTDocID">
      <xsd:simpleType>
        <xsd:restriction base="dms:Text">
          <xsd:maxLength value="255"/>
        </xsd:restriction>
      </xsd:simpleType>
    </xsd:element>
    <xsd:element name="OTModifiedBy" ma:index="36" nillable="true" ma:displayName="OTModifiedBy" ma:format="Dropdown" ma:internalName="OTModifiedBy">
      <xsd:simpleType>
        <xsd:restriction base="dms:Text">
          <xsd:maxLength value="255"/>
        </xsd:restriction>
      </xsd:simpleType>
    </xsd:element>
    <xsd:element name="OTCreatedBy" ma:index="37" nillable="true" ma:displayName="OTCreatedBy" ma:format="Dropdown" ma:internalName="OTCreatedBy">
      <xsd:simpleType>
        <xsd:restriction base="dms:Text">
          <xsd:maxLength value="255"/>
        </xsd:restriction>
      </xsd:simpleType>
    </xsd:element>
    <xsd:element name="LegacyMetadata" ma:index="38" nillable="true" ma:displayName="LegacyMetadata" ma:format="Dropdown" ma:internalName="LegacyMetadata">
      <xsd:simpleType>
        <xsd:restriction base="dms:Note"/>
      </xsd:simpleType>
    </xsd:element>
    <xsd:element name="MediaServiceDateTaken" ma:index="4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12a4863-2e7e-439e-ac91-f44950423e7e" elementFormDefault="qualified">
    <xsd:import namespace="http://schemas.microsoft.com/office/2006/documentManagement/types"/>
    <xsd:import namespace="http://schemas.microsoft.com/office/infopath/2007/PartnerControls"/>
    <xsd:element name="SharedWithUsers" ma:index="3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0" nillable="true" ma:displayName="Shared With Details" ma:internalName="SharedWithDetails" ma:readOnly="true">
      <xsd:simpleType>
        <xsd:restriction base="dms:Note">
          <xsd:maxLength value="255"/>
        </xsd:restriction>
      </xsd:simpleType>
    </xsd:element>
    <xsd:element name="_dlc_DocId" ma:index="42" nillable="true" ma:displayName="Document ID Value" ma:description="The value of the document ID assigned to this item." ma:internalName="_dlc_DocId" ma:readOnly="true">
      <xsd:simpleType>
        <xsd:restriction base="dms:Text"/>
      </xsd:simpleType>
    </xsd:element>
    <xsd:element name="_dlc_DocIdUrl" ma:index="4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egacyMetadata xmlns="211ccad8-b333-499a-9bb0-6589cdb357fb" xsi:nil="true"/>
    <PraText1 xmlns="a9df0e0e-9b5b-47bc-81c1-d190dfb54f87" xsi:nil="true"/>
    <Activity xmlns="70761194-623b-4751-a0da-29ad6551f95e">Models</Activity>
    <Function xmlns="70761194-623b-4751-a0da-29ad6551f95e">Programmes and Projects</Function>
    <Year xmlns="70761194-623b-4751-a0da-29ad6551f95e" xsi:nil="true"/>
    <OTModifiedBy xmlns="211ccad8-b333-499a-9bb0-6589cdb357fb" xsi:nil="true"/>
    <AggregationStatus xmlns="a9df0e0e-9b5b-47bc-81c1-d190dfb54f87">Normal</AggregationStatus>
    <CategoryName xmlns="70761194-623b-4751-a0da-29ad6551f95e" xsi:nil="true"/>
    <CategoryValue xmlns="70761194-623b-4751-a0da-29ad6551f95e" xsi:nil="true"/>
    <Narrative xmlns="a9df0e0e-9b5b-47bc-81c1-d190dfb54f87" xsi:nil="true"/>
    <PraText5 xmlns="a9df0e0e-9b5b-47bc-81c1-d190dfb54f87" xsi:nil="true"/>
    <OTDocID xmlns="211ccad8-b333-499a-9bb0-6589cdb357fb" xsi:nil="true"/>
    <PRAType xmlns="70761194-623b-4751-a0da-29ad6551f95e" xsi:nil="true"/>
    <PraDate3 xmlns="a9df0e0e-9b5b-47bc-81c1-d190dfb54f87" xsi:nil="true"/>
    <PraDateTrigger xmlns="a9df0e0e-9b5b-47bc-81c1-d190dfb54f87" xsi:nil="true"/>
    <Project xmlns="70761194-623b-4751-a0da-29ad6551f95e" xsi:nil="true"/>
    <PraText4 xmlns="a9df0e0e-9b5b-47bc-81c1-d190dfb54f87" xsi:nil="true"/>
    <Subactivity xmlns="70761194-623b-4751-a0da-29ad6551f95e">NA</Subactivity>
    <PraDateDisposal xmlns="a9df0e0e-9b5b-47bc-81c1-d190dfb54f87" xsi:nil="true"/>
    <PraDate2 xmlns="a9df0e0e-9b5b-47bc-81c1-d190dfb54f87" xsi:nil="true"/>
    <PraText3 xmlns="a9df0e0e-9b5b-47bc-81c1-d190dfb54f87" xsi:nil="true"/>
    <OTCreatedBy xmlns="211ccad8-b333-499a-9bb0-6589cdb357fb" xsi:nil="true"/>
    <DocumentType xmlns="02bffcbe-7cf8-467d-a91b-a3e0dbcae01e" xsi:nil="true"/>
    <AggregationNarrative xmlns="70761194-623b-4751-a0da-29ad6551f95e" xsi:nil="true"/>
    <Case xmlns="70761194-623b-4751-a0da-29ad6551f95e">Cross Cutting</Case>
    <PraDate1 xmlns="a9df0e0e-9b5b-47bc-81c1-d190dfb54f87" xsi:nil="true"/>
    <PraText2 xmlns="a9df0e0e-9b5b-47bc-81c1-d190dfb54f87" xsi:nil="true"/>
    <_dlc_DocId xmlns="f12a4863-2e7e-439e-ac91-f44950423e7e">C6EMVEZ3DK3F-1749848088-18080</_dlc_DocId>
    <_dlc_DocIdUrl xmlns="f12a4863-2e7e-439e-ac91-f44950423e7e">
      <Url>https://climatechangegovt.sharepoint.com/sites/EmissionsBudget/_layouts/15/DocIdRedir.aspx?ID=C6EMVEZ3DK3F-1749848088-18080</Url>
      <Description>C6EMVEZ3DK3F-1749848088-18080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51A8EB8-66DC-44B8-A2CB-F324B5B1EB80}"/>
</file>

<file path=customXml/itemProps2.xml><?xml version="1.0" encoding="utf-8"?>
<ds:datastoreItem xmlns:ds="http://schemas.openxmlformats.org/officeDocument/2006/customXml" ds:itemID="{AB1DCDEB-21B8-40C9-83CB-82C64BF13C7A}">
  <ds:schemaRefs>
    <ds:schemaRef ds:uri="http://schemas.openxmlformats.org/package/2006/metadata/core-properties"/>
    <ds:schemaRef ds:uri="http://schemas.microsoft.com/office/2006/metadata/properties"/>
    <ds:schemaRef ds:uri="http://purl.org/dc/elements/1.1/"/>
    <ds:schemaRef ds:uri="http://schemas.microsoft.com/office/infopath/2007/PartnerControls"/>
    <ds:schemaRef ds:uri="http://www.w3.org/XML/1998/namespace"/>
    <ds:schemaRef ds:uri="http://schemas.microsoft.com/office/2006/documentManagement/types"/>
    <ds:schemaRef ds:uri="http://purl.org/dc/terms/"/>
    <ds:schemaRef ds:uri="f4f49d7b-2e81-468c-af74-0fc9a4d1a0e0"/>
    <ds:schemaRef ds:uri="1c4557ba-96ab-4926-aab4-7f112d2d28f2"/>
    <ds:schemaRef ds:uri="http://purl.org/dc/dcmitype/"/>
  </ds:schemaRefs>
</ds:datastoreItem>
</file>

<file path=customXml/itemProps3.xml><?xml version="1.0" encoding="utf-8"?>
<ds:datastoreItem xmlns:ds="http://schemas.openxmlformats.org/officeDocument/2006/customXml" ds:itemID="{22C624F9-A636-443B-B0C1-46A191FFB302}">
  <ds:schemaRefs>
    <ds:schemaRef ds:uri="http://schemas.microsoft.com/sharepoint/v3/contenttype/forms"/>
  </ds:schemaRefs>
</ds:datastoreItem>
</file>

<file path=customXml/itemProps4.xml><?xml version="1.0" encoding="utf-8"?>
<ds:datastoreItem xmlns:ds="http://schemas.openxmlformats.org/officeDocument/2006/customXml" ds:itemID="{84B3830D-0D45-4B22-8F48-6164C2C8C6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Guide</vt:lpstr>
      <vt:lpstr>NDC tool</vt:lpstr>
      <vt:lpstr>% on 2005 back calculator</vt:lpstr>
      <vt:lpstr>Tables in advice report</vt:lpstr>
      <vt:lpstr>Tables evidence report</vt:lpstr>
      <vt:lpstr>Graphs</vt:lpstr>
      <vt:lpstr>NZ emissions AR4</vt:lpstr>
      <vt:lpstr>NZ emissions AR5</vt:lpstr>
      <vt:lpstr>Demonstration path</vt:lpstr>
      <vt:lpstr>Current Policy Reference</vt:lpstr>
      <vt:lpstr>MfE Target accounting emissions</vt:lpstr>
      <vt:lpstr>IPCC modelled reductions</vt:lpstr>
      <vt:lpstr>2021 Inventory emissions</vt:lpstr>
      <vt:lpstr>Table10s5</vt:lpstr>
      <vt:lpstr>F-gas GWPs</vt:lpstr>
      <vt:lpstr>F-gas conversion</vt:lpstr>
      <vt:lpstr>F-gas conversion outputs</vt:lpstr>
      <vt:lpstr>'Tables evidence report'!_Hlk57294012</vt:lpstr>
      <vt:lpstr>CRF_Table10s5_Main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Smith</dc:creator>
  <cp:lastModifiedBy>Matthew Smith</cp:lastModifiedBy>
  <cp:lastPrinted>2021-05-27T09:31:37Z</cp:lastPrinted>
  <dcterms:created xsi:type="dcterms:W3CDTF">2020-05-27T05:02:34Z</dcterms:created>
  <dcterms:modified xsi:type="dcterms:W3CDTF">2021-06-03T00:38:58Z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2265b78-25d0-4d54-b3b2-27c0ecf14e3e_Enabled">
    <vt:lpwstr>True</vt:lpwstr>
  </property>
  <property fmtid="{D5CDD505-2E9C-101B-9397-08002B2CF9AE}" pid="3" name="MSIP_Label_92265b78-25d0-4d54-b3b2-27c0ecf14e3e_SiteId">
    <vt:lpwstr>27523570-98da-4a95-b560-ba6bb21643d0</vt:lpwstr>
  </property>
  <property fmtid="{D5CDD505-2E9C-101B-9397-08002B2CF9AE}" pid="4" name="MSIP_Label_92265b78-25d0-4d54-b3b2-27c0ecf14e3e_Owner">
    <vt:lpwstr>Matthew.Smith@climatecommission.govt.nz</vt:lpwstr>
  </property>
  <property fmtid="{D5CDD505-2E9C-101B-9397-08002B2CF9AE}" pid="5" name="MSIP_Label_92265b78-25d0-4d54-b3b2-27c0ecf14e3e_SetDate">
    <vt:lpwstr>2020-05-27T05:19:31.7053507Z</vt:lpwstr>
  </property>
  <property fmtid="{D5CDD505-2E9C-101B-9397-08002B2CF9AE}" pid="6" name="MSIP_Label_92265b78-25d0-4d54-b3b2-27c0ecf14e3e_Name">
    <vt:lpwstr>Unclassified</vt:lpwstr>
  </property>
  <property fmtid="{D5CDD505-2E9C-101B-9397-08002B2CF9AE}" pid="7" name="MSIP_Label_92265b78-25d0-4d54-b3b2-27c0ecf14e3e_Application">
    <vt:lpwstr>Microsoft Azure Information Protection</vt:lpwstr>
  </property>
  <property fmtid="{D5CDD505-2E9C-101B-9397-08002B2CF9AE}" pid="8" name="MSIP_Label_92265b78-25d0-4d54-b3b2-27c0ecf14e3e_ActionId">
    <vt:lpwstr>e5aa8898-1f79-4eb7-935e-7536731baf01</vt:lpwstr>
  </property>
  <property fmtid="{D5CDD505-2E9C-101B-9397-08002B2CF9AE}" pid="9" name="MSIP_Label_92265b78-25d0-4d54-b3b2-27c0ecf14e3e_Extended_MSFT_Method">
    <vt:lpwstr>Automatic</vt:lpwstr>
  </property>
  <property fmtid="{D5CDD505-2E9C-101B-9397-08002B2CF9AE}" pid="10" name="Sensitivity">
    <vt:lpwstr>Unclassified</vt:lpwstr>
  </property>
  <property fmtid="{D5CDD505-2E9C-101B-9397-08002B2CF9AE}" pid="11" name="ContentTypeId">
    <vt:lpwstr>0x010100FC40A03624D64143884E6213E5F3CCAE006A1BE56954B71E4AA7C596A81C178FC1</vt:lpwstr>
  </property>
  <property fmtid="{D5CDD505-2E9C-101B-9397-08002B2CF9AE}" pid="12" name="_dlc_DocIdItemGuid">
    <vt:lpwstr>0beb4671-2e8b-42e8-898e-c5c6517b2f68</vt:lpwstr>
  </property>
</Properties>
</file>